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ahotw-my.sharepoint.com/personal/950491_tahoho_com_tw/Documents/桌面/預算編列/2024/"/>
    </mc:Choice>
  </mc:AlternateContent>
  <xr:revisionPtr revIDLastSave="744" documentId="8_{68C56FEC-9A92-4182-87F9-7BD8CF20BE19}" xr6:coauthVersionLast="47" xr6:coauthVersionMax="47" xr10:uidLastSave="{CFBFDD8B-92A1-448C-99D3-3CAB12508306}"/>
  <bookViews>
    <workbookView xWindow="-108" yWindow="-108" windowWidth="23256" windowHeight="12576" activeTab="2" xr2:uid="{A2792639-C034-4750-87D4-1EAB40D5E755}"/>
  </bookViews>
  <sheets>
    <sheet name="2024預算(總處)" sheetId="1" r:id="rId1"/>
    <sheet name="2024預算-拆分至各廠" sheetId="2" r:id="rId2"/>
    <sheet name="2024各單位計畫" sheetId="3" r:id="rId3"/>
    <sheet name="軟體訂閱" sheetId="4" r:id="rId4"/>
  </sheets>
  <externalReferences>
    <externalReference r:id="rId5"/>
  </externalReferences>
  <definedNames>
    <definedName name="_xlnm._FilterDatabase" localSheetId="0" hidden="1">'2024預算(總處)'!$A$1:$H$44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Q23" i="2" s="1"/>
  <c r="J23" i="2"/>
  <c r="Q53" i="2"/>
  <c r="Q51" i="2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1" i="2"/>
  <c r="Q19" i="2"/>
  <c r="Q17" i="2"/>
  <c r="Q15" i="2"/>
  <c r="Q13" i="2"/>
  <c r="Q11" i="2"/>
  <c r="Q9" i="2"/>
  <c r="Q7" i="2"/>
  <c r="Q5" i="2"/>
  <c r="Q3" i="2"/>
  <c r="N52" i="2"/>
  <c r="M52" i="2"/>
  <c r="J52" i="2"/>
  <c r="I52" i="2"/>
  <c r="H52" i="2"/>
  <c r="G52" i="2"/>
  <c r="F52" i="2"/>
  <c r="E52" i="2"/>
  <c r="D52" i="2"/>
  <c r="Q52" i="2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1" i="1"/>
  <c r="I10" i="1"/>
  <c r="I9" i="1"/>
  <c r="I8" i="1"/>
  <c r="I7" i="1"/>
  <c r="I6" i="1"/>
  <c r="I5" i="1"/>
  <c r="I4" i="1"/>
  <c r="I3" i="1"/>
  <c r="I2" i="1"/>
  <c r="I29" i="1"/>
  <c r="H58" i="2"/>
  <c r="G58" i="2"/>
  <c r="F58" i="2"/>
  <c r="D58" i="2"/>
  <c r="H57" i="2"/>
  <c r="G57" i="2"/>
  <c r="F57" i="2"/>
  <c r="D57" i="2"/>
  <c r="J50" i="2"/>
  <c r="I50" i="2"/>
  <c r="H50" i="2"/>
  <c r="G50" i="2"/>
  <c r="F50" i="2"/>
  <c r="E50" i="2"/>
  <c r="D50" i="2"/>
  <c r="N48" i="2"/>
  <c r="M48" i="2"/>
  <c r="L48" i="2"/>
  <c r="K48" i="2"/>
  <c r="J48" i="2"/>
  <c r="I48" i="2"/>
  <c r="H48" i="2"/>
  <c r="G48" i="2"/>
  <c r="F48" i="2"/>
  <c r="E48" i="2"/>
  <c r="D48" i="2"/>
  <c r="N46" i="2"/>
  <c r="M46" i="2"/>
  <c r="J46" i="2"/>
  <c r="I46" i="2"/>
  <c r="H46" i="2"/>
  <c r="G46" i="2"/>
  <c r="F46" i="2"/>
  <c r="E46" i="2"/>
  <c r="D46" i="2"/>
  <c r="N44" i="2"/>
  <c r="M44" i="2"/>
  <c r="J44" i="2"/>
  <c r="I44" i="2"/>
  <c r="H44" i="2"/>
  <c r="G44" i="2"/>
  <c r="F44" i="2"/>
  <c r="E44" i="2"/>
  <c r="D44" i="2"/>
  <c r="Q42" i="2"/>
  <c r="J40" i="2"/>
  <c r="I40" i="2"/>
  <c r="H40" i="2"/>
  <c r="F40" i="2"/>
  <c r="E40" i="2"/>
  <c r="D40" i="2"/>
  <c r="L38" i="2"/>
  <c r="K38" i="2"/>
  <c r="J38" i="2"/>
  <c r="I38" i="2"/>
  <c r="H38" i="2"/>
  <c r="F38" i="2"/>
  <c r="E38" i="2"/>
  <c r="D38" i="2"/>
  <c r="Q36" i="2"/>
  <c r="P34" i="2"/>
  <c r="O34" i="2"/>
  <c r="N34" i="2"/>
  <c r="M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L26" i="2"/>
  <c r="K26" i="2"/>
  <c r="J26" i="2"/>
  <c r="I26" i="2"/>
  <c r="H26" i="2"/>
  <c r="G26" i="2"/>
  <c r="F26" i="2"/>
  <c r="E26" i="2"/>
  <c r="D26" i="2"/>
  <c r="N24" i="2"/>
  <c r="M24" i="2"/>
  <c r="L24" i="2"/>
  <c r="K24" i="2"/>
  <c r="J24" i="2"/>
  <c r="I24" i="2"/>
  <c r="H24" i="2"/>
  <c r="G24" i="2"/>
  <c r="F24" i="2"/>
  <c r="E24" i="2"/>
  <c r="D24" i="2"/>
  <c r="N22" i="2"/>
  <c r="M22" i="2"/>
  <c r="L22" i="2"/>
  <c r="K22" i="2"/>
  <c r="J22" i="2"/>
  <c r="I22" i="2"/>
  <c r="H22" i="2"/>
  <c r="G22" i="2"/>
  <c r="F22" i="2"/>
  <c r="E22" i="2"/>
  <c r="D22" i="2"/>
  <c r="N20" i="2"/>
  <c r="M20" i="2"/>
  <c r="J20" i="2"/>
  <c r="I20" i="2"/>
  <c r="H20" i="2"/>
  <c r="G20" i="2"/>
  <c r="F20" i="2"/>
  <c r="E20" i="2"/>
  <c r="D20" i="2"/>
  <c r="M18" i="2"/>
  <c r="L18" i="2"/>
  <c r="K18" i="2"/>
  <c r="J18" i="2"/>
  <c r="I18" i="2"/>
  <c r="H18" i="2"/>
  <c r="G18" i="2"/>
  <c r="F18" i="2"/>
  <c r="E18" i="2"/>
  <c r="D18" i="2"/>
  <c r="P16" i="2"/>
  <c r="P54" i="2" s="1"/>
  <c r="O16" i="2"/>
  <c r="N16" i="2"/>
  <c r="M16" i="2"/>
  <c r="J16" i="2"/>
  <c r="I16" i="2"/>
  <c r="H16" i="2"/>
  <c r="G16" i="2"/>
  <c r="F16" i="2"/>
  <c r="E16" i="2"/>
  <c r="D16" i="2"/>
  <c r="K14" i="2"/>
  <c r="I14" i="2"/>
  <c r="E14" i="2"/>
  <c r="D14" i="2"/>
  <c r="L12" i="2"/>
  <c r="K12" i="2"/>
  <c r="J12" i="2"/>
  <c r="I12" i="2"/>
  <c r="H12" i="2"/>
  <c r="G12" i="2"/>
  <c r="F12" i="2"/>
  <c r="E12" i="2"/>
  <c r="D12" i="2"/>
  <c r="Q10" i="2"/>
  <c r="L8" i="2"/>
  <c r="K8" i="2"/>
  <c r="J8" i="2"/>
  <c r="I8" i="2"/>
  <c r="H8" i="2"/>
  <c r="G8" i="2"/>
  <c r="F8" i="2"/>
  <c r="E8" i="2"/>
  <c r="D8" i="2"/>
  <c r="J6" i="2"/>
  <c r="I6" i="2"/>
  <c r="H6" i="2"/>
  <c r="G6" i="2"/>
  <c r="F6" i="2"/>
  <c r="E6" i="2"/>
  <c r="D6" i="2"/>
  <c r="J4" i="2"/>
  <c r="I4" i="2"/>
  <c r="H4" i="2"/>
  <c r="G4" i="2"/>
  <c r="F4" i="2"/>
  <c r="E4" i="2"/>
  <c r="D4" i="2"/>
  <c r="J2" i="2"/>
  <c r="I2" i="2"/>
  <c r="H2" i="2"/>
  <c r="G2" i="2"/>
  <c r="F2" i="2"/>
  <c r="E2" i="2"/>
  <c r="D2" i="2"/>
  <c r="D49" i="1"/>
  <c r="E57" i="2" s="1"/>
  <c r="E34" i="1"/>
  <c r="E44" i="1" s="1"/>
  <c r="D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3" i="1"/>
  <c r="F12" i="1"/>
  <c r="D11" i="1"/>
  <c r="D44" i="1" s="1"/>
  <c r="F10" i="1"/>
  <c r="F9" i="1"/>
  <c r="F8" i="1"/>
  <c r="F7" i="1"/>
  <c r="F5" i="1"/>
  <c r="F4" i="1"/>
  <c r="F2" i="1"/>
  <c r="Q28" i="2" l="1"/>
  <c r="F34" i="1"/>
  <c r="O54" i="2"/>
  <c r="M54" i="2"/>
  <c r="Q18" i="2"/>
  <c r="Q30" i="2"/>
  <c r="Q46" i="2"/>
  <c r="Q14" i="2"/>
  <c r="N54" i="2"/>
  <c r="K54" i="2"/>
  <c r="Q22" i="2"/>
  <c r="Q32" i="2"/>
  <c r="Q38" i="2"/>
  <c r="Q40" i="2"/>
  <c r="Q44" i="2"/>
  <c r="E54" i="2"/>
  <c r="I54" i="2"/>
  <c r="Q6" i="2"/>
  <c r="Q16" i="2"/>
  <c r="Q4" i="2"/>
  <c r="Q8" i="2"/>
  <c r="G54" i="2"/>
  <c r="Q12" i="2"/>
  <c r="H54" i="2"/>
  <c r="L54" i="2"/>
  <c r="F54" i="2"/>
  <c r="J54" i="2"/>
  <c r="Q50" i="2"/>
  <c r="Q48" i="2"/>
  <c r="Q20" i="2"/>
  <c r="Q24" i="2"/>
  <c r="Q34" i="2"/>
  <c r="D50" i="1"/>
  <c r="E58" i="2" s="1"/>
  <c r="F11" i="1"/>
  <c r="D54" i="2"/>
  <c r="Q2" i="2"/>
  <c r="Q5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tc={98F90223-3572-4616-A076-4A7D736134D9}</author>
    <author>tc={8FE61067-474E-4C2C-B8FA-B63525C7D4C0}</author>
    <author>tc={C735EA4E-AEB8-4F18-9010-F4E57CCE6EDB}</author>
    <author>tc={8F4A8C47-CB74-4C91-8365-B45CB30F5C46}</author>
    <author>tc={80B209DE-69A8-4AF7-87E5-DA3A5D9D4BCF}</author>
    <author>tc={31B2E096-B93E-4B9D-99BE-3FA93C21DD59}</author>
    <author>tc={10E47AE1-1151-44AF-B656-7C57F1B677BA}</author>
    <author>tc={578FF4FF-8BE9-47D9-B99A-A9B0E5B7745F}</author>
    <author>LO ChengTa 駱正達</author>
    <author>tc={4C0DBCCF-FFF2-48AA-A49A-5E6946C6786D}</author>
    <author>tc={6CCFF27A-06FA-465A-A09A-6A693EABBD07}</author>
    <author>tc={666323B8-C38A-4418-8621-CB872A69140D}</author>
    <author>tc={18E7467E-8F89-4662-A31A-A2E610C64196}</author>
    <author>tc={F0EAAD3F-1F87-4259-998C-7661CA8538D4}</author>
    <author>tc={31D2C1D9-224D-44F9-946A-8A04EB45CD31}</author>
    <author>tc={086F94B4-984F-404C-9D74-0A600059027C}</author>
    <author>tc={91F6F293-F5B4-44BC-AC9C-C59F7FD517E4}</author>
    <author>tc={6D5EC770-9A14-44E3-90E2-0A47D49CE750}</author>
    <author>tc={9BCE5AE5-EC60-4FDD-B831-3E041937BE6F}</author>
    <author>tc={21A399DA-7CE3-4CA6-9671-D3BEA900354E}</author>
    <author>tc={FCC16B81-D4BE-450A-946E-5F130B47BF4E}</author>
    <author>tc={0DEECC01-7533-4A2D-BAFD-36159DC998DD}</author>
    <author>tc={0F5BE0B6-E9F0-4CC2-B644-21B51533EEF9}</author>
    <author>tc={574BF62E-7A75-4055-9AF5-A98EC5F19987}</author>
    <author>tc={FA8C54D4-B058-4C4F-ACCF-E1C09B4D8849}</author>
  </authors>
  <commentList>
    <comment ref="J2" authorId="0" shapeId="0" xr:uid="{98F90223-3572-4616-A076-4A7D736134D9}">
      <text>
        <t>[對話串註解]
您的 Excel 版本可讓您讀取此對話串註解; 但若以較新的 Excel 版本開啟此檔案，將會移除對它進行的所有編輯。深入了解: https://go.microsoft.com/fwlink/?linkid=870924。
註解:
    總處2024.3.1起一年每季請款</t>
      </text>
    </comment>
    <comment ref="J4" authorId="1" shapeId="0" xr:uid="{8FE61067-474E-4C2C-B8FA-B63525C7D4C0}">
      <text>
        <t>[對話串註解]
您的 Excel 版本可讓您讀取此對話串註解; 但若以較新的 Excel 版本開啟此檔案，將會移除對它進行的所有編輯。深入了解: https://go.microsoft.com/fwlink/?linkid=870924。
註解:
    IBM storage、server*1</t>
      </text>
    </comment>
    <comment ref="J5" authorId="2" shapeId="0" xr:uid="{C735EA4E-AEB8-4F18-9010-F4E57CCE6EDB}">
      <text>
        <t>[對話串註解]
您的 Excel 版本可讓您讀取此對話串註解; 但若以較新的 Excel 版本開啟此檔案，將會移除對它進行的所有編輯。深入了解: https://go.microsoft.com/fwlink/?linkid=870924。
註解:
    王總</t>
      </text>
    </comment>
    <comment ref="K5" authorId="3" shapeId="0" xr:uid="{8F4A8C47-CB74-4C91-8365-B45CB30F5C46}">
      <text>
        <t>[對話串註解]
您的 Excel 版本可讓您讀取此對話串註解; 但若以較新的 Excel 版本開啟此檔案，將會移除對它進行的所有編輯。深入了解: https://go.microsoft.com/fwlink/?linkid=870924。
註解:
    蘇協理</t>
      </text>
    </comment>
    <comment ref="L5" authorId="4" shapeId="0" xr:uid="{80B209DE-69A8-4AF7-87E5-DA3A5D9D4BCF}">
      <text>
        <t>[對話串註解]
您的 Excel 版本可讓您讀取此對話串註解; 但若以較新的 Excel 版本開啟此檔案，將會移除對它進行的所有編輯。深入了解: https://go.microsoft.com/fwlink/?linkid=870924。
註解:
    3C週邊、線材</t>
      </text>
    </comment>
    <comment ref="M5" authorId="5" shapeId="0" xr:uid="{31B2E096-B93E-4B9D-99BE-3FA93C21DD59}">
      <text>
        <t>[對話串註解]
您的 Excel 版本可讓您讀取此對話串註解; 但若以較新的 Excel 版本開啟此檔案，將會移除對它進行的所有編輯。深入了解: https://go.microsoft.com/fwlink/?linkid=870924。
註解:
    備用PC、NB及type-c擴充器及外接碟</t>
      </text>
    </comment>
    <comment ref="N5" authorId="6" shapeId="0" xr:uid="{10E47AE1-1151-44AF-B656-7C57F1B677BA}">
      <text>
        <t>[對話串註解]
您的 Excel 版本可讓您讀取此對話串註解; 但若以較新的 Excel 版本開啟此檔案，將會移除對它進行的所有編輯。深入了解: https://go.microsoft.com/fwlink/?linkid=870924。
註解:
    Server增加ram(70000)</t>
      </text>
    </comment>
    <comment ref="O5" authorId="7" shapeId="0" xr:uid="{578FF4FF-8BE9-47D9-B99A-A9B0E5B7745F}">
      <text>
        <t>[對話串註解]
您的 Excel 版本可讓您讀取此對話串註解; 但若以較新的 Excel 版本開啟此檔案，將會移除對它進行的所有編輯。深入了解: https://go.microsoft.com/fwlink/?linkid=870924。
註解:
    Wifi機變壓器兩個</t>
      </text>
    </comment>
    <comment ref="J7" authorId="8" shapeId="0" xr:uid="{FA8B110C-5CE0-467B-9005-5134066EDB4E}">
      <text>
        <r>
          <rPr>
            <b/>
            <sz val="9"/>
            <color indexed="81"/>
            <rFont val="Tahoma"/>
            <family val="2"/>
          </rPr>
          <t xml:space="preserve">LO ChengTa </t>
        </r>
        <r>
          <rPr>
            <b/>
            <sz val="9"/>
            <color indexed="81"/>
            <rFont val="細明體"/>
            <family val="3"/>
            <charset val="136"/>
          </rPr>
          <t>駱正達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預計汰換</t>
        </r>
        <r>
          <rPr>
            <sz val="9"/>
            <color indexed="81"/>
            <rFont val="Tahoma"/>
            <family val="2"/>
          </rPr>
          <t xml:space="preserve">Storage </t>
        </r>
        <r>
          <rPr>
            <sz val="9"/>
            <color indexed="81"/>
            <rFont val="細明體"/>
            <family val="3"/>
            <charset val="136"/>
          </rPr>
          <t xml:space="preserve">及主機
</t>
        </r>
      </text>
    </comment>
    <comment ref="J13" authorId="9" shapeId="0" xr:uid="{4C0DBCCF-FFF2-48AA-A49A-5E6946C6786D}">
      <text>
        <t>[對話串註解]
您的 Excel 版本可讓您讀取此對話串註解; 但若以較新的 Excel 版本開啟此檔案，將會移除對它進行的所有編輯。深入了解: https://go.microsoft.com/fwlink/?linkid=870924。
註解:
    尚未驗收</t>
      </text>
    </comment>
    <comment ref="J17" authorId="10" shapeId="0" xr:uid="{6CCFF27A-06FA-465A-A09A-6A693EABBD07}">
      <text>
        <t>[對話串註解]
您的 Excel 版本可讓您讀取此對話串註解; 但若以較新的 Excel 版本開啟此檔案，將會移除對它進行的所有編輯。深入了解: https://go.microsoft.com/fwlink/?linkid=870924。
註解:
    AutoCAD 3D 大發</t>
      </text>
    </comment>
    <comment ref="K17" authorId="11" shapeId="0" xr:uid="{666323B8-C38A-4418-8621-CB872A69140D}">
      <text>
        <t>[對話串註解]
您的 Excel 版本可讓您讀取此對話串註解; 但若以較新的 Excel 版本開啟此檔案，將會移除對它進行的所有編輯。深入了解: https://go.microsoft.com/fwlink/?linkid=870924。
註解:
    無蝦米2套</t>
      </text>
    </comment>
    <comment ref="L17" authorId="12" shapeId="0" xr:uid="{18E7467E-8F89-4662-A31A-A2E610C64196}">
      <text>
        <t>[對話串註解]
您的 Excel 版本可讓您讀取此對話串註解; 但若以較新的 Excel 版本開啟此檔案，將會移除對它進行的所有編輯。深入了解: https://go.microsoft.com/fwlink/?linkid=870924。
註解:
    PDF-Xchange 3套</t>
      </text>
    </comment>
    <comment ref="M17" authorId="13" shapeId="0" xr:uid="{F0EAAD3F-1F87-4259-998C-7661CA8538D4}">
      <text>
        <t>[對話串註解]
您的 Excel 版本可讓您讀取此對話串註解; 但若以較新的 Excel 版本開啟此檔案，將會移除對它進行的所有編輯。深入了解: https://go.microsoft.com/fwlink/?linkid=870924。
註解:
    Visio 方案2</t>
      </text>
    </comment>
    <comment ref="N17" authorId="14" shapeId="0" xr:uid="{31D2C1D9-224D-44F9-946A-8A04EB45CD31}">
      <text>
        <t>[對話串註解]
您的 Excel 版本可讓您讀取此對話串註解; 但若以較新的 Excel 版本開啟此檔案，將會移除對它進行的所有編輯。深入了解: https://go.microsoft.com/fwlink/?linkid=870924。
註解:
    總處O365*38+Ex*5</t>
      </text>
    </comment>
    <comment ref="J18" authorId="15" shapeId="0" xr:uid="{086F94B4-984F-404C-9D74-0A600059027C}">
      <text>
        <t>[對話串註解]
您的 Excel 版本可讓您讀取此對話串註解; 但若以較新的 Excel 版本開啟此檔案，將會移除對它進行的所有編輯。深入了解: https://go.microsoft.com/fwlink/?linkid=870924。
註解:
    2023年帳號費用</t>
      </text>
    </comment>
    <comment ref="J24" authorId="16" shapeId="0" xr:uid="{91F6F293-F5B4-44BC-AC9C-C59F7FD517E4}">
      <text>
        <t>[對話串註解]
您的 Excel 版本可讓您讀取此對話串註解; 但若以較新的 Excel 版本開啟此檔案，將會移除對它進行的所有編輯。深入了解: https://go.microsoft.com/fwlink/?linkid=870924。
註解:
    Acronis VM*1</t>
      </text>
    </comment>
    <comment ref="J26" authorId="17" shapeId="0" xr:uid="{6D5EC770-9A14-44E3-90E2-0A47D49CE750}">
      <text>
        <t>[對話串註解]
您的 Excel 版本可讓您讀取此對話串註解; 但若以較新的 Excel 版本開啟此檔案，將會移除對它進行的所有編輯。深入了解: https://go.microsoft.com/fwlink/?linkid=870924。
註解:
    總處：49854</t>
      </text>
    </comment>
    <comment ref="J29" authorId="18" shapeId="0" xr:uid="{9BCE5AE5-EC60-4FDD-B831-3E041937BE6F}">
      <text>
        <t>[對話串註解]
您的 Excel 版本可讓您讀取此對話串註解; 但若以較新的 Excel 版本開啟此檔案，將會移除對它進行的所有編輯。深入了解: https://go.microsoft.com/fwlink/?linkid=870924。
註解:
    到114年</t>
      </text>
    </comment>
    <comment ref="J32" authorId="19" shapeId="0" xr:uid="{21A399DA-7CE3-4CA6-9671-D3BEA900354E}">
      <text>
        <t>[對話串註解]
您的 Excel 版本可讓您讀取此對話串註解; 但若以較新的 Excel 版本開啟此檔案，將會移除對它進行的所有編輯。深入了解: https://go.microsoft.com/fwlink/?linkid=870924。
註解:
    犯罪訊息來源判斷與鑑定</t>
      </text>
    </comment>
    <comment ref="K32" authorId="20" shapeId="0" xr:uid="{FCC16B81-D4BE-450A-946E-5F130B47BF4E}">
      <text>
        <t>[對話串註解]
您的 Excel 版本可讓您讀取此對話串註解; 但若以較新的 Excel 版本開啟此檔案，將會移除對它進行的所有編輯。深入了解: https://go.microsoft.com/fwlink/?linkid=870924。
註解:
    恆逸-軟實力</t>
      </text>
    </comment>
    <comment ref="L32" authorId="21" shapeId="0" xr:uid="{0DEECC01-7533-4A2D-BAFD-36159DC998DD}">
      <text>
        <t>[對話串註解]
您的 Excel 版本可讓您讀取此對話串註解; 但若以較新的 Excel 版本開啟此檔案，將會移除對它進行的所有編輯。深入了解: https://go.microsoft.com/fwlink/?linkid=870924。
註解:
    資安通識教育訓練</t>
      </text>
    </comment>
    <comment ref="J34" authorId="8" shapeId="0" xr:uid="{4DF02A41-4480-4352-A669-14BA094B208A}">
      <text>
        <r>
          <rPr>
            <b/>
            <sz val="9"/>
            <color indexed="81"/>
            <rFont val="Tahoma"/>
            <family val="2"/>
          </rPr>
          <t xml:space="preserve">LO ChengTa </t>
        </r>
        <r>
          <rPr>
            <b/>
            <sz val="9"/>
            <color indexed="81"/>
            <rFont val="細明體"/>
            <family val="3"/>
            <charset val="136"/>
          </rPr>
          <t>駱正達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發包三甲(尚未完成簽約)</t>
        </r>
      </text>
    </comment>
    <comment ref="J39" authorId="22" shapeId="0" xr:uid="{0F5BE0B6-E9F0-4CC2-B644-21B51533EEF9}">
      <text>
        <t>[對話串註解]
您的 Excel 版本可讓您讀取此對話串註解; 但若以較新的 Excel 版本開啟此檔案，將會移除對它進行的所有編輯。深入了解: https://go.microsoft.com/fwlink/?linkid=870924。
註解:
    前一年度預算</t>
      </text>
    </comment>
    <comment ref="K39" authorId="23" shapeId="0" xr:uid="{574BF62E-7A75-4055-9AF5-A98EC5F19987}">
      <text>
        <t>[對話串註解]
您的 Excel 版本可讓您讀取此對話串註解; 但若以較新的 Excel 版本開啟此檔案，將會移除對它進行的所有編輯。深入了解: https://go.microsoft.com/fwlink/?linkid=870924。
註解:
    採購模組專案需求確定款</t>
      </text>
    </comment>
    <comment ref="L39" authorId="8" shapeId="0" xr:uid="{5CDB3F71-DE60-4588-A49C-7274B179FD10}">
      <text>
        <r>
          <rPr>
            <sz val="12"/>
            <color indexed="10"/>
            <rFont val="新細明體"/>
            <family val="1"/>
            <charset val="136"/>
            <scheme val="minor"/>
          </rPr>
          <t>採購模組尾款479,999</t>
        </r>
      </text>
    </comment>
    <comment ref="J40" authorId="24" shapeId="0" xr:uid="{FA8C54D4-B058-4C4F-ACCF-E1C09B4D8849}">
      <text>
        <t>[對話串註解]
您的 Excel 版本可讓您讀取此對話串註解; 但若以較新的 Excel 版本開啟此檔案，將會移除對它進行的所有編輯。深入了解: https://go.microsoft.com/fwlink/?linkid=870924。
註解:
    2023年度 E2C (Edge to Cloud)
由總處.宜蘭.永康.八里,.新店.,樹林
六個單位平均分攤(每單位50391)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tc={25B311F4-D226-4AF1-AB94-02553B3AB2B4}</author>
    <author>tc={AFDC710F-0951-4ABB-A631-CFDA5B227A92}</author>
    <author>tc={02979FF3-9EC6-416E-BEDF-1F5DA32B20BD}</author>
    <author>tc={0CB6E5DA-AEDF-450C-AD0D-9C7D89C84C36}</author>
    <author>tc={191A78FC-6441-4D9F-99A7-9D5816C94446}</author>
    <author>tc={CA7D8B92-D586-4513-9073-E3404AEDC8EB}</author>
  </authors>
  <commentList>
    <comment ref="J23" authorId="0" shapeId="0" xr:uid="{25B311F4-D226-4AF1-AB94-02553B3AB2B4}">
      <text>
        <t>[對話串註解]
您的 Excel 版本可讓您讀取此對話串註解; 但若以較新的 Excel 版本開啟此檔案，將會移除對它進行的所有編輯。深入了解: https://go.microsoft.com/fwlink/?linkid=870924。
註解:
    AutoCad LT *2 (八里)</t>
      </text>
    </comment>
    <comment ref="L23" authorId="1" shapeId="0" xr:uid="{AFDC710F-0951-4ABB-A631-CFDA5B227A92}">
      <text>
        <t xml:space="preserve">[對話串註解]
您的 Excel 版本可讓您讀取此對話串註解; 但若以較新的 Excel 版本開啟此檔案，將會移除對它進行的所有編輯。深入了解: https://go.microsoft.com/fwlink/?linkid=870924。
註解:
    Adobe 繪圖訂閱1年(台中)
</t>
      </text>
    </comment>
    <comment ref="Q26" authorId="2" shapeId="0" xr:uid="{02979FF3-9EC6-416E-BEDF-1F5DA32B20BD}">
      <text>
        <t>[對話串註解]
您的 Excel 版本可讓您讀取此對話串註解; 但若以較新的 Excel 版本開啟此檔案，將會移除對它進行的所有編輯。深入了解: https://go.microsoft.com/fwlink/?linkid=870924。
註解:
    各單位不含總處 NT$ 211,544</t>
      </text>
    </comment>
    <comment ref="C27" authorId="3" shapeId="0" xr:uid="{0CB6E5DA-AEDF-450C-AD0D-9C7D89C84C36}">
      <text>
        <t>[對話串註解]
您的 Excel 版本可讓您讀取此對話串註解; 但若以較新的 Excel 版本開啟此檔案，將會移除對它進行的所有編輯。深入了解: https://go.microsoft.com/fwlink/?linkid=870924。
註解:
    尚未驗收報核</t>
      </text>
    </comment>
    <comment ref="C39" authorId="4" shapeId="0" xr:uid="{191A78FC-6441-4D9F-99A7-9D5816C94446}">
      <text>
        <t>[對話串註解]
您的 Excel 版本可讓您讀取此對話串註解; 但若以較新的 Excel 版本開啟此檔案，將會移除對它進行的所有編輯。深入了解: https://go.microsoft.com/fwlink/?linkid=870924。
註解:
    尚未驗收報核</t>
      </text>
    </comment>
    <comment ref="C53" authorId="5" shapeId="0" xr:uid="{CA7D8B92-D586-4513-9073-E3404AEDC8EB}">
      <text>
        <t>[對話串註解]
您的 Excel 版本可讓您讀取此對話串註解; 但若以較新的 Excel 版本開啟此檔案，將會移除對它進行的所有編輯。深入了解: https://go.microsoft.com/fwlink/?linkid=870924。
註解:
    尚未驗收報核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tc={D6EC274E-3F68-4B77-98E1-0C8B0CAA762E}</author>
    <author>tc={79EF3F0D-F8D7-4CB1-83FE-F52F7A74B96F}</author>
    <author>tc={853AC52C-8120-4112-A162-8DEF80A5828E}</author>
    <author>tc={A1B57D9C-8815-41E3-8562-70870621724A}</author>
    <author>tc={57B841DF-F1AF-421C-92F4-910044917368}</author>
    <author>tc={1377DBF1-38D6-4C0A-BBAA-7D4A8C2A9D3D}</author>
    <author>tc={3E2D1573-86D1-4AA0-B435-85CDBC9F6E6B}</author>
    <author>tc={491959EE-52B9-43EB-8FEB-49079A91808D}</author>
    <author>tc={F89A8DEE-298C-4DF3-9DDF-A7BAE0B05D23}</author>
    <author>tc={83A03D15-651F-426C-92C0-70C02CC10694}</author>
    <author>tc={71F5F52E-30DC-46FA-B17C-864FFD7B18DF}</author>
    <author>tc={D83E6C3B-38F6-4CFB-BC20-361E3A17125E}</author>
  </authors>
  <commentList>
    <comment ref="G4" authorId="0" shapeId="0" xr:uid="{D6EC274E-3F68-4B77-98E1-0C8B0CAA762E}">
      <text>
        <t>[對話串註解]
您的 Excel 版本可讓您讀取此對話串註解; 但若以較新的 Excel 版本開啟此檔案，將會移除對它進行的所有編輯。深入了解: https://go.microsoft.com/fwlink/?linkid=870924。
註解:
    Adobe Creative Cloud</t>
      </text>
    </comment>
    <comment ref="K10" authorId="1" shapeId="0" xr:uid="{79EF3F0D-F8D7-4CB1-83FE-F52F7A74B96F}">
      <text>
        <t>[對話串註解]
您的 Excel 版本可讓您讀取此對話串註解; 但若以較新的 Excel 版本開啟此檔案，將會移除對它進行的所有編輯。深入了解: https://go.microsoft.com/fwlink/?linkid=870924。
註解:
    授權費</t>
      </text>
    </comment>
    <comment ref="L10" authorId="2" shapeId="0" xr:uid="{853AC52C-8120-4112-A162-8DEF80A5828E}">
      <text>
        <t>[對話串註解]
您的 Excel 版本可讓您讀取此對話串註解; 但若以較新的 Excel 版本開啟此檔案，將會移除對它進行的所有編輯。深入了解: https://go.microsoft.com/fwlink/?linkid=870924。
註解:
    技術支援及保養</t>
      </text>
    </comment>
    <comment ref="K11" authorId="3" shapeId="0" xr:uid="{A1B57D9C-8815-41E3-8562-70870621724A}">
      <text>
        <t>[對話串註解]
您的 Excel 版本可讓您讀取此對話串註解; 但若以較新的 Excel 版本開啟此檔案，將會移除對它進行的所有編輯。深入了解: https://go.microsoft.com/fwlink/?linkid=870924。
註解:
    授權費</t>
      </text>
    </comment>
    <comment ref="L11" authorId="4" shapeId="0" xr:uid="{57B841DF-F1AF-421C-92F4-910044917368}">
      <text>
        <t>[對話串註解]
您的 Excel 版本可讓您讀取此對話串註解; 但若以較新的 Excel 版本開啟此檔案，將會移除對它進行的所有編輯。深入了解: https://go.microsoft.com/fwlink/?linkid=870924。
註解:
    技術支援及保養</t>
      </text>
    </comment>
    <comment ref="G13" authorId="5" shapeId="0" xr:uid="{1377DBF1-38D6-4C0A-BBAA-7D4A8C2A9D3D}">
      <text>
        <t>[對話串註解]
您的 Excel 版本可讓您讀取此對話串註解; 但若以較新的 Excel 版本開啟此檔案，將會移除對它進行的所有編輯。深入了解: https://go.microsoft.com/fwlink/?linkid=870924。
註解:
    2024年度</t>
      </text>
    </comment>
    <comment ref="O13" authorId="6" shapeId="0" xr:uid="{3E2D1573-86D1-4AA0-B435-85CDBC9F6E6B}">
      <text>
        <t>[對話串註解]
您的 Excel 版本可讓您讀取此對話串註解; 但若以較新的 Excel 版本開啟此檔案，將會移除對它進行的所有編輯。深入了解: https://go.microsoft.com/fwlink/?linkid=870924。
註解:
    2025年度</t>
      </text>
    </comment>
    <comment ref="F28" authorId="7" shapeId="0" xr:uid="{491959EE-52B9-43EB-8FEB-49079A91808D}">
      <text>
        <t>[對話串註解]
您的 Excel 版本可讓您讀取此對話串註解; 但若以較新的 Excel 版本開啟此檔案，將會移除對它進行的所有編輯。深入了解: https://go.microsoft.com/fwlink/?linkid=870924。
註解:
    到114年度3月</t>
      </text>
    </comment>
    <comment ref="I30" authorId="8" shapeId="0" xr:uid="{F89A8DEE-298C-4DF3-9DDF-A7BAE0B05D23}">
      <text>
        <t>[對話串註解]
您的 Excel 版本可讓您讀取此對話串註解; 但若以較新的 Excel 版本開啟此檔案，將會移除對它進行的所有編輯。深入了解: https://go.microsoft.com/fwlink/?linkid=870924。
註解:
    至2026年6月</t>
      </text>
    </comment>
    <comment ref="D33" authorId="9" shapeId="0" xr:uid="{83A03D15-651F-426C-92C0-70C02CC10694}">
      <text>
        <t>[對話串註解]
您的 Excel 版本可讓您讀取此對話串註解; 但若以較新的 Excel 版本開啟此檔案，將會移除對它進行的所有編輯。深入了解: https://go.microsoft.com/fwlink/?linkid=870924。
註解:
    總經理未核准</t>
      </text>
    </comment>
    <comment ref="G34" authorId="10" shapeId="0" xr:uid="{71F5F52E-30DC-46FA-B17C-864FFD7B18DF}">
      <text>
        <t>[對話串註解]
您的 Excel 版本可讓您讀取此對話串註解; 但若以較新的 Excel 版本開啟此檔案，將會移除對它進行的所有編輯。深入了解: https://go.microsoft.com/fwlink/?linkid=870924。
註解:
    約30萬，簽約中</t>
      </text>
    </comment>
    <comment ref="I36" authorId="11" shapeId="0" xr:uid="{D83E6C3B-38F6-4CFB-BC20-361E3A17125E}">
      <text>
        <t>[對話串註解]
您的 Excel 版本可讓您讀取此對話串註解; 但若以較新的 Excel 版本開啟此檔案，將會移除對它進行的所有編輯。深入了解: https://go.microsoft.com/fwlink/?linkid=870924。
註解:
    採購模組(第一期款)</t>
      </text>
    </comment>
  </commentList>
</comments>
</file>

<file path=xl/sharedStrings.xml><?xml version="1.0" encoding="utf-8"?>
<sst xmlns="http://schemas.openxmlformats.org/spreadsheetml/2006/main" count="310" uniqueCount="236">
  <si>
    <t>項目</t>
    <phoneticPr fontId="4" type="noConversion"/>
  </si>
  <si>
    <t>2024預算</t>
  </si>
  <si>
    <t>2023預算</t>
  </si>
  <si>
    <t>差異</t>
    <phoneticPr fontId="4" type="noConversion"/>
  </si>
  <si>
    <t>2024年說明</t>
  </si>
  <si>
    <t>2023年實際</t>
  </si>
  <si>
    <t>固定維護支出</t>
  </si>
  <si>
    <t>硬體</t>
    <phoneticPr fontId="4" type="noConversion"/>
  </si>
  <si>
    <t>維護合約(防火牆)</t>
  </si>
  <si>
    <t>*總部、各廠共同攤分(Total:100000)</t>
  </si>
  <si>
    <t>維護合約(無線AP)</t>
  </si>
  <si>
    <t>總處-6、7樓</t>
  </si>
  <si>
    <t>維護合約(主機)</t>
  </si>
  <si>
    <t xml:space="preserve">電腦、筆電更新 </t>
  </si>
  <si>
    <t>分批汰換</t>
  </si>
  <si>
    <t>資訊設備維護費</t>
  </si>
  <si>
    <t>涵蓋總處、各廠、達清、達技-資訊設備維運費用
(*採購置維護商-點數150點-100萬，攤至各廠使用)</t>
  </si>
  <si>
    <r>
      <t>伺服器設備汰換更新</t>
    </r>
    <r>
      <rPr>
        <sz val="12"/>
        <color rgb="FFFF0000"/>
        <rFont val="新細明體"/>
        <family val="2"/>
        <scheme val="minor"/>
      </rPr>
      <t xml:space="preserve"> (Capex)</t>
    </r>
  </si>
  <si>
    <t>軟體-修改</t>
  </si>
  <si>
    <t>營運報表系統</t>
  </si>
  <si>
    <t>會計、費用系統</t>
  </si>
  <si>
    <t>*會計:
總處認列-276,676;
其餘268,964(由台中、嘉義、永康、宜蘭、八里、新店、樹林、仁武及鹿草分擔)</t>
  </si>
  <si>
    <t>公文系統</t>
  </si>
  <si>
    <t>*總部、各廠共同攤分</t>
  </si>
  <si>
    <t>軟體-維護</t>
  </si>
  <si>
    <t>*總部、各廠共同攤分(Total:120000)</t>
  </si>
  <si>
    <t>UIPath(RPA)</t>
  </si>
  <si>
    <t>Total:305,250 ，由總處、各廠共同攤分</t>
  </si>
  <si>
    <t>人事薪資系統</t>
  </si>
  <si>
    <t>Total:327,135 ，由總處、各廠共同攤分</t>
  </si>
  <si>
    <t>2023年新購(Totla:393,750/年)，由總處+9廠攤</t>
  </si>
  <si>
    <t>微軟-授權系統
Exchange online+Office365</t>
  </si>
  <si>
    <r>
      <t xml:space="preserve">逐漸將單機端服務移至 office 365
</t>
    </r>
    <r>
      <rPr>
        <sz val="12"/>
        <rFont val="新細明體"/>
        <family val="2"/>
        <scheme val="minor"/>
      </rPr>
      <t>總處-2023年
O365 39人 (3520*39)
Exchang online:3 (1221*3)
推算2024-增加人數、購買價</t>
    </r>
  </si>
  <si>
    <t>雲端服務</t>
  </si>
  <si>
    <t xml:space="preserve">Veolia Account </t>
    <phoneticPr fontId="4" type="noConversion"/>
  </si>
  <si>
    <r>
      <t xml:space="preserve">Veolia Account 82300元（34.6歐*120人/年)
</t>
    </r>
    <r>
      <rPr>
        <sz val="12"/>
        <color rgb="FFFF0000"/>
        <rFont val="微軟正黑體"/>
        <family val="2"/>
        <charset val="136"/>
      </rPr>
      <t>*2023/04-產生: 253463</t>
    </r>
  </si>
  <si>
    <t>雲端  Azure DNS  服務</t>
    <phoneticPr fontId="4" type="noConversion"/>
  </si>
  <si>
    <t>雲端  Azure AD  服務</t>
    <phoneticPr fontId="4" type="noConversion"/>
  </si>
  <si>
    <t>180*430*12=928,800(430個user一年的費用)，總處-70U=151,200</t>
  </si>
  <si>
    <t>雲端虛擬主機空間</t>
    <phoneticPr fontId="4" type="noConversion"/>
  </si>
  <si>
    <t>雲端服務使用費用(7萬*12月)</t>
  </si>
  <si>
    <t>雲端維護費</t>
  </si>
  <si>
    <t>*總部、各廠(不含嘉義、台中)、達清共同攤分，
Total:800,000
*上水獨立</t>
  </si>
  <si>
    <t>資訊安全</t>
  </si>
  <si>
    <t>軟體</t>
  </si>
  <si>
    <t>防毒軟體授權服務費用</t>
    <phoneticPr fontId="4" type="noConversion"/>
  </si>
  <si>
    <t xml:space="preserve">備份軟體授權服務費用 </t>
    <phoneticPr fontId="4" type="noConversion"/>
  </si>
  <si>
    <t>異地備份費用</t>
    <phoneticPr fontId="4" type="noConversion"/>
  </si>
  <si>
    <t xml:space="preserve">EDR 監控系統 </t>
  </si>
  <si>
    <t>1U-$1500，依照各廠費用攤提(總處-70U)</t>
  </si>
  <si>
    <t>網路可視化</t>
  </si>
  <si>
    <t>SD-WAN，依照各廠費用攤提(總處-10萬)</t>
  </si>
  <si>
    <t>資產管理系統</t>
  </si>
  <si>
    <t>資產管理(e.g Pacth、GPO)</t>
  </si>
  <si>
    <t>SSL 加密憑證 (2年)</t>
    <phoneticPr fontId="4" type="noConversion"/>
  </si>
  <si>
    <t>硬體</t>
  </si>
  <si>
    <r>
      <t xml:space="preserve">監控數據儲存設備  </t>
    </r>
    <r>
      <rPr>
        <sz val="12"/>
        <color rgb="FFFF0000"/>
        <rFont val="新細明體"/>
        <family val="2"/>
        <scheme val="minor"/>
      </rPr>
      <t>Capex</t>
    </r>
  </si>
  <si>
    <t>SIEM</t>
  </si>
  <si>
    <r>
      <t xml:space="preserve">監控分析設備 </t>
    </r>
    <r>
      <rPr>
        <sz val="12"/>
        <color rgb="FFFF0000"/>
        <rFont val="新細明體"/>
        <family val="2"/>
        <scheme val="minor"/>
      </rPr>
      <t>(OPEX)</t>
    </r>
  </si>
  <si>
    <t>依照各廠費用攤提(總處-10萬)</t>
  </si>
  <si>
    <t>教育訓練</t>
  </si>
  <si>
    <t>教育訓練費用</t>
  </si>
  <si>
    <t>總處-分擔10萬，其餘由各廠分擔(見"拆分至各廠)</t>
  </si>
  <si>
    <t>資訊安全服務</t>
  </si>
  <si>
    <t>資安技術(顧問)服務費用</t>
    <phoneticPr fontId="4" type="noConversion"/>
  </si>
  <si>
    <t>含入現有狀況評估顧問服務(共150萬，共同分擔)</t>
  </si>
  <si>
    <t>*需攤分到各廠</t>
  </si>
  <si>
    <t>滲透測試/弱點掃描</t>
  </si>
  <si>
    <t>(共150萬，共同分擔)</t>
  </si>
  <si>
    <t>災難復原演練</t>
  </si>
  <si>
    <t>災難復原</t>
  </si>
  <si>
    <t>策略發展</t>
  </si>
  <si>
    <t>系統雲端化</t>
    <phoneticPr fontId="4" type="noConversion"/>
  </si>
  <si>
    <t>功能系統移轉雲端費用</t>
    <phoneticPr fontId="4" type="noConversion"/>
  </si>
  <si>
    <t>大數據雲端整合平台</t>
  </si>
  <si>
    <r>
      <t xml:space="preserve">整合平台建置 </t>
    </r>
    <r>
      <rPr>
        <sz val="12"/>
        <color rgb="FFFF0000"/>
        <rFont val="新細明體"/>
        <family val="1"/>
        <charset val="136"/>
        <scheme val="minor"/>
      </rPr>
      <t xml:space="preserve"> (Capex)</t>
    </r>
  </si>
  <si>
    <t>第二年度費用暫訂(*需視訪談-單位各自需求)</t>
  </si>
  <si>
    <r>
      <t xml:space="preserve">整合平台建置 </t>
    </r>
    <r>
      <rPr>
        <sz val="12"/>
        <color rgb="FFFF0000"/>
        <rFont val="新細明體"/>
        <family val="1"/>
        <charset val="136"/>
        <scheme val="minor"/>
      </rPr>
      <t xml:space="preserve"> (OPEX)</t>
    </r>
  </si>
  <si>
    <r>
      <t>GCP費用初估約 (1969.47 USD/ 月+維護費用為 15%)*12月=</t>
    </r>
    <r>
      <rPr>
        <sz val="12"/>
        <color rgb="FFFF0000"/>
        <rFont val="新細明體"/>
        <family val="2"/>
        <scheme val="minor"/>
      </rPr>
      <t>815360</t>
    </r>
    <r>
      <rPr>
        <sz val="12"/>
        <color theme="1"/>
        <rFont val="新細明體"/>
        <family val="1"/>
        <charset val="136"/>
        <scheme val="minor"/>
      </rPr>
      <t xml:space="preserve">
</t>
    </r>
    <r>
      <rPr>
        <sz val="12"/>
        <color rgb="FFFF0000"/>
        <rFont val="新細明體"/>
        <family val="2"/>
        <scheme val="minor"/>
      </rPr>
      <t>*總處-分擔10萬，其餘由各廠分擔</t>
    </r>
  </si>
  <si>
    <t>數位化轉型</t>
  </si>
  <si>
    <t>流程系統</t>
  </si>
  <si>
    <r>
      <t xml:space="preserve">採購維修系統更換 </t>
    </r>
    <r>
      <rPr>
        <sz val="12"/>
        <color rgb="FFFF0000"/>
        <rFont val="新細明體"/>
        <family val="2"/>
        <scheme val="minor"/>
      </rPr>
      <t>(Capex)</t>
    </r>
  </si>
  <si>
    <t>Capex</t>
    <phoneticPr fontId="4" type="noConversion"/>
  </si>
  <si>
    <t>Opex</t>
    <phoneticPr fontId="4" type="noConversion"/>
  </si>
  <si>
    <t>新店廠</t>
  </si>
  <si>
    <t>樹林廠</t>
  </si>
  <si>
    <t>鹿草廠</t>
  </si>
  <si>
    <t>仁武廠</t>
  </si>
  <si>
    <t>永康廠</t>
  </si>
  <si>
    <t>利澤廠</t>
  </si>
  <si>
    <t>八里廠</t>
  </si>
  <si>
    <t>嘉義廠</t>
  </si>
  <si>
    <t>台中廠</t>
  </si>
  <si>
    <t>達清</t>
  </si>
  <si>
    <t>上水</t>
  </si>
  <si>
    <t>大發</t>
  </si>
  <si>
    <t>達技</t>
  </si>
  <si>
    <t>Total</t>
  </si>
  <si>
    <t>資訊</t>
  </si>
  <si>
    <t>修改</t>
  </si>
  <si>
    <t>自收業務系統  軟體修改費用</t>
    <phoneticPr fontId="4" type="noConversion"/>
  </si>
  <si>
    <t>營運報表系統  軟體修改費用</t>
    <phoneticPr fontId="4" type="noConversion"/>
  </si>
  <si>
    <t>維護</t>
  </si>
  <si>
    <t>營運報表系統維護費</t>
  </si>
  <si>
    <t>會計系統 維護費</t>
  </si>
  <si>
    <t>人事薪資系統維護費</t>
  </si>
  <si>
    <t>公文系統維護費</t>
  </si>
  <si>
    <t>串接-政府公文系統費用</t>
  </si>
  <si>
    <t>IT設備維護費</t>
  </si>
  <si>
    <t>雲端空間維護費</t>
  </si>
  <si>
    <t>新購</t>
  </si>
  <si>
    <t>採購維修系統</t>
  </si>
  <si>
    <t>授權服務</t>
  </si>
  <si>
    <t>應用軟體購置費用
包含Office365+Exchange online</t>
    <phoneticPr fontId="4" type="noConversion"/>
  </si>
  <si>
    <t>雲端  Azure AD  服務(含雙因子驗證)</t>
  </si>
  <si>
    <t>UiPath-軟體使用費</t>
  </si>
  <si>
    <t>資安</t>
  </si>
  <si>
    <t>EDR 監控系統</t>
  </si>
  <si>
    <t>資產管理</t>
  </si>
  <si>
    <t>硬體-IT</t>
  </si>
  <si>
    <t>防火牆-(IT)</t>
  </si>
  <si>
    <t>監控數據儲存設備</t>
  </si>
  <si>
    <t>硬體-OT</t>
  </si>
  <si>
    <t>防火牆-(OT)</t>
  </si>
  <si>
    <t>U-2484維護</t>
  </si>
  <si>
    <t>Total OPEX 2023</t>
    <phoneticPr fontId="4" type="noConversion"/>
  </si>
  <si>
    <t>Capex HO</t>
    <phoneticPr fontId="4" type="noConversion"/>
  </si>
  <si>
    <t>Opex HO</t>
    <phoneticPr fontId="4" type="noConversion"/>
  </si>
  <si>
    <t>支出追蹤小計</t>
    <phoneticPr fontId="4" type="noConversion"/>
  </si>
  <si>
    <r>
      <t>自收業務系統</t>
    </r>
    <r>
      <rPr>
        <sz val="12"/>
        <color rgb="FFFF0000"/>
        <rFont val="新細明體"/>
        <family val="1"/>
        <charset val="136"/>
        <scheme val="minor"/>
      </rPr>
      <t>修改</t>
    </r>
    <r>
      <rPr>
        <sz val="12"/>
        <color theme="1"/>
        <rFont val="新細明體"/>
        <family val="1"/>
        <charset val="136"/>
        <scheme val="minor"/>
      </rPr>
      <t>費用</t>
    </r>
    <phoneticPr fontId="4" type="noConversion"/>
  </si>
  <si>
    <r>
      <t>營運報表系統</t>
    </r>
    <r>
      <rPr>
        <sz val="12"/>
        <color rgb="FFFF0000"/>
        <rFont val="新細明體"/>
        <family val="1"/>
        <charset val="136"/>
        <scheme val="minor"/>
      </rPr>
      <t>修改</t>
    </r>
    <r>
      <rPr>
        <sz val="12"/>
        <color theme="1"/>
        <rFont val="新細明體"/>
        <family val="1"/>
        <charset val="136"/>
        <scheme val="minor"/>
      </rPr>
      <t>費用</t>
    </r>
    <phoneticPr fontId="4" type="noConversion"/>
  </si>
  <si>
    <t>*修改費用總部編列(*由各廠共同攤分)</t>
    <phoneticPr fontId="4" type="noConversion"/>
  </si>
  <si>
    <t>自收業務系統</t>
    <phoneticPr fontId="4" type="noConversion"/>
  </si>
  <si>
    <t>單位：</t>
    <phoneticPr fontId="4" type="noConversion"/>
  </si>
  <si>
    <t>2024 採購項目</t>
    <phoneticPr fontId="4" type="noConversion"/>
  </si>
  <si>
    <t>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</si>
  <si>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</si>
  <si>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</si>
  <si>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</si>
  <si>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</si>
  <si>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</si>
  <si>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</si>
  <si>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</si>
  <si>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</si>
  <si>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</si>
  <si>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</si>
  <si>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</si>
  <si>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r>
      <t>訂閱制 
  (硬體、軟體)
排</t>
    </r>
    <r>
      <rPr>
        <sz val="12"/>
        <color rgb="FFFF0000"/>
        <rFont val="微軟正黑體"/>
        <family val="2"/>
        <charset val="136"/>
      </rPr>
      <t>到期</t>
    </r>
    <r>
      <rPr>
        <sz val="12"/>
        <rFont val="微軟正黑體"/>
        <family val="2"/>
        <charset val="136"/>
      </rPr>
      <t>時間
(例如防火牆、Office365等)</t>
    </r>
    <phoneticPr fontId="4" type="noConversion"/>
  </si>
  <si>
    <t>鹿草</t>
  </si>
  <si>
    <t>DCS數據防火牆</t>
    <phoneticPr fontId="4" type="noConversion"/>
  </si>
  <si>
    <t>DCS報表防火牆</t>
    <phoneticPr fontId="4" type="noConversion"/>
  </si>
  <si>
    <t>美術編輯軟體</t>
    <phoneticPr fontId="4" type="noConversion"/>
  </si>
  <si>
    <t>上水</t>
    <phoneticPr fontId="4" type="noConversion"/>
  </si>
  <si>
    <t>OFFF365續約 (與達和非同時期)</t>
    <phoneticPr fontId="4" type="noConversion"/>
  </si>
  <si>
    <t>宜蘭</t>
    <phoneticPr fontId="4" type="noConversion"/>
  </si>
  <si>
    <t>Adobe Acrobat</t>
    <phoneticPr fontId="4" type="noConversion"/>
  </si>
  <si>
    <t>達清</t>
    <phoneticPr fontId="4" type="noConversion"/>
  </si>
  <si>
    <t>電腦防毒年度費用 10/31 前續約</t>
    <phoneticPr fontId="4" type="noConversion"/>
  </si>
  <si>
    <t>仁武</t>
    <phoneticPr fontId="4" type="noConversion"/>
  </si>
  <si>
    <t>Aspen IP21 for DCS (操作)</t>
    <phoneticPr fontId="4" type="noConversion"/>
  </si>
  <si>
    <t>總處</t>
    <phoneticPr fontId="4" type="noConversion"/>
  </si>
  <si>
    <t>Acronis 備份軟體續約</t>
    <phoneticPr fontId="4" type="noConversion"/>
  </si>
  <si>
    <t>防火牆授權 ( Forti 201E UTP授權 9/17)</t>
    <phoneticPr fontId="4" type="noConversion"/>
  </si>
  <si>
    <t>所有外點</t>
    <phoneticPr fontId="4" type="noConversion"/>
  </si>
  <si>
    <t>廠辦Forti防火牆UTP授權及維護合約</t>
    <phoneticPr fontId="4" type="noConversion"/>
  </si>
  <si>
    <t>全集團</t>
    <phoneticPr fontId="4" type="noConversion"/>
  </si>
  <si>
    <t>OFFICE 365、ExchangeOnline續約</t>
    <phoneticPr fontId="4" type="noConversion"/>
  </si>
  <si>
    <t>全集團含上水</t>
    <phoneticPr fontId="4" type="noConversion"/>
  </si>
  <si>
    <t>CrowdStrike EDR防護</t>
    <phoneticPr fontId="4" type="noConversion"/>
  </si>
  <si>
    <r>
      <t>資訊設備
(電腦、網路)
排</t>
    </r>
    <r>
      <rPr>
        <sz val="12"/>
        <color rgb="FFFF0000"/>
        <rFont val="微軟正黑體"/>
        <family val="2"/>
        <charset val="136"/>
      </rPr>
      <t>汰換</t>
    </r>
    <r>
      <rPr>
        <sz val="12"/>
        <rFont val="微軟正黑體"/>
        <family val="2"/>
        <charset val="136"/>
      </rPr>
      <t>時間</t>
    </r>
    <phoneticPr fontId="4" type="noConversion"/>
  </si>
  <si>
    <t>電腦汰換</t>
    <phoneticPr fontId="4" type="noConversion"/>
  </si>
  <si>
    <t>永康</t>
    <phoneticPr fontId="4" type="noConversion"/>
  </si>
  <si>
    <t>五台電腦更新</t>
    <phoneticPr fontId="4" type="noConversion"/>
  </si>
  <si>
    <t>六堵電腦主機WIN7汰換</t>
    <phoneticPr fontId="4" type="noConversion"/>
  </si>
  <si>
    <t>電腦(固化、地磅)</t>
    <phoneticPr fontId="4" type="noConversion"/>
  </si>
  <si>
    <t>辦公司電腦汰換</t>
    <phoneticPr fontId="4" type="noConversion"/>
  </si>
  <si>
    <t>新店</t>
    <phoneticPr fontId="4" type="noConversion"/>
  </si>
  <si>
    <r>
      <t>保固、維護合約  
(金鑰、憑證、
網站維護、
設備維護、
技術支援、
硬體保固)
排</t>
    </r>
    <r>
      <rPr>
        <sz val="12"/>
        <color rgb="FFFF0000"/>
        <rFont val="微軟正黑體"/>
        <family val="2"/>
        <charset val="136"/>
      </rPr>
      <t>到期</t>
    </r>
    <r>
      <rPr>
        <sz val="12"/>
        <rFont val="微軟正黑體"/>
        <family val="2"/>
        <charset val="136"/>
      </rPr>
      <t>時間</t>
    </r>
    <phoneticPr fontId="4" type="noConversion"/>
  </si>
  <si>
    <t>電腦設備維護合約</t>
    <phoneticPr fontId="4" type="noConversion"/>
  </si>
  <si>
    <t>網頁公司維護</t>
    <phoneticPr fontId="4" type="noConversion"/>
  </si>
  <si>
    <t>HBB升級費用</t>
    <phoneticPr fontId="4" type="noConversion"/>
  </si>
  <si>
    <t>資訊維護合約</t>
    <phoneticPr fontId="4" type="noConversion"/>
  </si>
  <si>
    <t>捷凱維護合約費用</t>
  </si>
  <si>
    <t>智將業務系統維護合約</t>
    <phoneticPr fontId="4" type="noConversion"/>
  </si>
  <si>
    <t>SSL加密憑證</t>
    <phoneticPr fontId="4" type="noConversion"/>
  </si>
  <si>
    <t>網域名稱租賃</t>
    <phoneticPr fontId="4" type="noConversion"/>
  </si>
  <si>
    <t>總處</t>
  </si>
  <si>
    <t>防火牆及核心路由器、無線AP維護合約</t>
    <phoneticPr fontId="4" type="noConversion"/>
  </si>
  <si>
    <t xml:space="preserve"> IBM Server延長保固續約 (2/28)</t>
    <phoneticPr fontId="4" type="noConversion"/>
  </si>
  <si>
    <t>雲端維護合約</t>
    <phoneticPr fontId="4" type="noConversion"/>
  </si>
  <si>
    <t>資安顧問、滲透測試、弱點掃描</t>
    <phoneticPr fontId="4" type="noConversion"/>
  </si>
  <si>
    <t>採購、維修系統汰換(Capex)</t>
    <phoneticPr fontId="4" type="noConversion"/>
  </si>
  <si>
    <t>開始</t>
    <phoneticPr fontId="4" type="noConversion"/>
  </si>
  <si>
    <t>大數據整合平台(Capex)</t>
    <phoneticPr fontId="4" type="noConversion"/>
  </si>
  <si>
    <t>資安監控數據儲存設備及分析(Capex)</t>
    <phoneticPr fontId="4" type="noConversion"/>
  </si>
  <si>
    <t>集團各廠</t>
    <phoneticPr fontId="4" type="noConversion"/>
  </si>
  <si>
    <t>自收業務及營運報表系統　年度維護合約</t>
    <phoneticPr fontId="4" type="noConversion"/>
  </si>
  <si>
    <t>ERP維護合約</t>
    <phoneticPr fontId="4" type="noConversion"/>
  </si>
  <si>
    <t>公文系統維護合約</t>
    <phoneticPr fontId="4" type="noConversion"/>
  </si>
  <si>
    <t>RPA平台授權費</t>
    <phoneticPr fontId="4" type="noConversion"/>
  </si>
  <si>
    <t>人事系統維護合約</t>
    <phoneticPr fontId="4" type="noConversion"/>
  </si>
  <si>
    <t>會計系統維護合約</t>
    <phoneticPr fontId="4" type="noConversion"/>
  </si>
  <si>
    <t>加底色的儲存格是原本預計採購的時間，請各位填入支出的金額(未稅)</t>
    <phoneticPr fontId="4" type="noConversion"/>
  </si>
  <si>
    <t>Veolia Account帳號</t>
    <phoneticPr fontId="4" type="noConversion"/>
  </si>
  <si>
    <t>各廠自行編列於維修費用(本預算無列入)</t>
    <phoneticPr fontId="4" type="noConversion"/>
  </si>
  <si>
    <t>永康、宜蘭、新店、樹林、仁武各15萬，鹿草10萬，八里16.8萬</t>
    <phoneticPr fontId="4" type="noConversion"/>
  </si>
  <si>
    <t>其他單位見各廠分攤</t>
    <phoneticPr fontId="4" type="noConversion"/>
  </si>
  <si>
    <t>9個焚化廠均分半年費用</t>
  </si>
  <si>
    <t>數位化</t>
    <phoneticPr fontId="4" type="noConversion"/>
  </si>
  <si>
    <t>數位化流程(初估費用)各廠分攤</t>
    <phoneticPr fontId="4" type="noConversion"/>
  </si>
  <si>
    <t>資金</t>
    <phoneticPr fontId="4" type="noConversion"/>
  </si>
  <si>
    <t>2023年度 E2C (Edge to Cloud)
由總處.宜蘭.永康.八里,.新店.,樹林
六個單位分攤</t>
    <phoneticPr fontId="4" type="noConversion"/>
  </si>
  <si>
    <t>下半年維護費維運費用</t>
    <phoneticPr fontId="4" type="noConversion"/>
  </si>
  <si>
    <t>UiPath-Flex 授權一年訂月費</t>
    <phoneticPr fontId="4" type="noConversion"/>
  </si>
  <si>
    <t>AutoCAD</t>
    <phoneticPr fontId="4" type="noConversion"/>
  </si>
  <si>
    <t>總處*1</t>
    <phoneticPr fontId="4" type="noConversion"/>
  </si>
  <si>
    <t>八里*2</t>
    <phoneticPr fontId="4" type="noConversion"/>
  </si>
  <si>
    <t>台中*1</t>
    <phoneticPr fontId="4" type="noConversion"/>
  </si>
  <si>
    <t>Adobe Creative Cloud</t>
    <phoneticPr fontId="4" type="noConversion"/>
  </si>
  <si>
    <t>Visio plan2</t>
    <phoneticPr fontId="4" type="noConversion"/>
  </si>
  <si>
    <t>office365</t>
    <phoneticPr fontId="4" type="noConversion"/>
  </si>
  <si>
    <t>exchange online</t>
    <phoneticPr fontId="4" type="noConversion"/>
  </si>
  <si>
    <t>PDF</t>
    <phoneticPr fontId="4" type="noConversion"/>
  </si>
  <si>
    <t>無蝦米</t>
    <phoneticPr fontId="4" type="noConversion"/>
  </si>
  <si>
    <t>買斷</t>
    <phoneticPr fontId="4" type="noConversion"/>
  </si>
  <si>
    <t>Acronis</t>
    <phoneticPr fontId="4" type="noConversion"/>
  </si>
  <si>
    <t>VM</t>
    <phoneticPr fontId="4" type="noConversion"/>
  </si>
  <si>
    <t>由達和舊電腦支援</t>
    <phoneticPr fontId="4" type="noConversion"/>
  </si>
  <si>
    <t>取消，已無計畫性更新</t>
    <phoneticPr fontId="4" type="noConversion"/>
  </si>
  <si>
    <t>專案暫緩等待需求單位提出需求</t>
    <phoneticPr fontId="4" type="noConversion"/>
  </si>
  <si>
    <t>已通知棉蘡續約</t>
    <phoneticPr fontId="4" type="noConversion"/>
  </si>
  <si>
    <t>EDR取代防毒不續約</t>
    <phoneticPr fontId="4" type="noConversion"/>
  </si>
  <si>
    <t>已完成</t>
    <phoneticPr fontId="4" type="noConversion"/>
  </si>
  <si>
    <t>工安模組、營運報表模組尚未同意驗收</t>
    <phoneticPr fontId="4" type="noConversion"/>
  </si>
  <si>
    <t>Sime系統測試比較中</t>
    <phoneticPr fontId="4" type="noConversion"/>
  </si>
  <si>
    <t>鹿草廠已有報價單，但尚未簽約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</si>
</sst>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#,##0_ "/>
    <numFmt numFmtId="179" formatCode="_(* #,##0.00_);_(* \(#,##0.00\);_(* &quot;-&quot;??_);_(@_)"/>
    <numFmt numFmtId="180" formatCode="_(* #,##0_);_(* \(#,##0\);_(* &quot;-&quot;??_);_(@_)"/>
    <numFmt numFmtId="181" formatCode="m&quot;月&quot;d&quot;日&quot;"/>
  </numFmts>
  <fonts count="2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新細明體"/>
      <family val="2"/>
      <scheme val="minor"/>
    </font>
    <font>
      <sz val="12"/>
      <color rgb="FF000000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u/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u/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indexed="10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/>
    <xf numFmtId="179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0" xfId="0" applyFont="1">
      <alignment vertical="center"/>
    </xf>
    <xf numFmtId="38" fontId="5" fillId="0" borderId="1" xfId="0" applyNumberFormat="1" applyFont="1" applyBorder="1" applyAlignment="1">
      <alignment vertical="center" wrapText="1"/>
    </xf>
    <xf numFmtId="176" fontId="5" fillId="0" borderId="1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76" fontId="3" fillId="0" borderId="1" xfId="1" applyNumberFormat="1" applyFont="1" applyBorder="1" applyAlignment="1">
      <alignment horizontal="left" wrapText="1"/>
    </xf>
    <xf numFmtId="176" fontId="5" fillId="3" borderId="1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76" fontId="7" fillId="0" borderId="1" xfId="1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176" fontId="5" fillId="0" borderId="1" xfId="1" applyNumberFormat="1" applyFont="1" applyFill="1" applyBorder="1" applyAlignment="1">
      <alignment vertical="center"/>
    </xf>
    <xf numFmtId="176" fontId="3" fillId="0" borderId="1" xfId="1" applyNumberFormat="1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1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176" fontId="5" fillId="0" borderId="1" xfId="1" quotePrefix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176" fontId="5" fillId="3" borderId="1" xfId="1" quotePrefix="1" applyNumberFormat="1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0" fontId="3" fillId="4" borderId="1" xfId="0" applyFont="1" applyFill="1" applyBorder="1" applyAlignment="1">
      <alignment vertical="center" wrapText="1"/>
    </xf>
    <xf numFmtId="176" fontId="5" fillId="4" borderId="1" xfId="1" quotePrefix="1" applyNumberFormat="1" applyFont="1" applyFill="1" applyBorder="1" applyAlignment="1">
      <alignment horizontal="right" vertical="center"/>
    </xf>
    <xf numFmtId="176" fontId="7" fillId="0" borderId="1" xfId="1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76" fontId="7" fillId="0" borderId="1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76" fontId="5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177" fontId="3" fillId="0" borderId="0" xfId="0" applyNumberFormat="1" applyFont="1">
      <alignment vertical="center"/>
    </xf>
    <xf numFmtId="176" fontId="3" fillId="0" borderId="0" xfId="1" applyNumberFormat="1" applyFont="1" applyAlignment="1">
      <alignment horizontal="right" vertical="center"/>
    </xf>
    <xf numFmtId="176" fontId="3" fillId="0" borderId="0" xfId="1" applyNumberFormat="1" applyFont="1" applyAlignment="1">
      <alignment horizontal="left"/>
    </xf>
    <xf numFmtId="0" fontId="3" fillId="0" borderId="0" xfId="0" applyFont="1" applyAlignment="1">
      <alignment horizontal="right" vertical="center" wrapText="1"/>
    </xf>
    <xf numFmtId="176" fontId="3" fillId="3" borderId="0" xfId="0" applyNumberFormat="1" applyFont="1" applyFill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1" fontId="2" fillId="2" borderId="1" xfId="2" applyNumberForma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 applyAlignment="1"/>
    <xf numFmtId="176" fontId="14" fillId="0" borderId="1" xfId="0" applyNumberFormat="1" applyFont="1" applyBorder="1">
      <alignment vertical="center"/>
    </xf>
    <xf numFmtId="176" fontId="15" fillId="0" borderId="1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  <xf numFmtId="0" fontId="3" fillId="3" borderId="0" xfId="0" applyFont="1" applyFill="1" applyAlignment="1">
      <alignment horizontal="right" vertical="center" wrapText="1"/>
    </xf>
    <xf numFmtId="178" fontId="0" fillId="3" borderId="0" xfId="0" applyNumberFormat="1" applyFill="1">
      <alignment vertical="center"/>
    </xf>
    <xf numFmtId="0" fontId="3" fillId="5" borderId="0" xfId="0" applyFont="1" applyFill="1" applyAlignment="1">
      <alignment horizontal="right" vertical="center" wrapText="1"/>
    </xf>
    <xf numFmtId="178" fontId="0" fillId="5" borderId="0" xfId="0" applyNumberFormat="1" applyFill="1">
      <alignment vertical="center"/>
    </xf>
    <xf numFmtId="1" fontId="0" fillId="0" borderId="0" xfId="0" applyNumberForma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9" fillId="8" borderId="1" xfId="0" quotePrefix="1" applyFont="1" applyFill="1" applyBorder="1" applyAlignment="1">
      <alignment horizontal="center" vertical="center" wrapText="1"/>
    </xf>
    <xf numFmtId="49" fontId="9" fillId="8" borderId="1" xfId="0" quotePrefix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80" fontId="0" fillId="0" borderId="1" xfId="3" applyNumberFormat="1" applyFont="1" applyBorder="1" applyAlignment="1" applyProtection="1">
      <alignment horizontal="center" vertical="center"/>
      <protection locked="0"/>
    </xf>
    <xf numFmtId="180" fontId="16" fillId="0" borderId="1" xfId="3" applyNumberFormat="1" applyFont="1" applyBorder="1" applyAlignment="1" applyProtection="1">
      <alignment horizontal="center" vertical="center"/>
      <protection locked="0"/>
    </xf>
    <xf numFmtId="0" fontId="16" fillId="1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176" fontId="12" fillId="9" borderId="1" xfId="0" applyNumberFormat="1" applyFont="1" applyFill="1" applyBorder="1" applyProtection="1">
      <alignment vertical="center"/>
      <protection locked="0"/>
    </xf>
    <xf numFmtId="176" fontId="0" fillId="9" borderId="1" xfId="0" applyNumberFormat="1" applyFill="1" applyBorder="1" applyProtection="1">
      <alignment vertical="center"/>
      <protection locked="0"/>
    </xf>
    <xf numFmtId="176" fontId="0" fillId="6" borderId="1" xfId="0" applyNumberFormat="1" applyFill="1" applyBorder="1">
      <alignment vertical="center"/>
    </xf>
    <xf numFmtId="177" fontId="3" fillId="0" borderId="12" xfId="1" applyNumberFormat="1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177" fontId="3" fillId="0" borderId="10" xfId="1" applyNumberFormat="1" applyFont="1" applyBorder="1" applyProtection="1">
      <alignment vertical="center"/>
      <protection locked="0"/>
    </xf>
    <xf numFmtId="177" fontId="3" fillId="0" borderId="4" xfId="1" applyNumberFormat="1" applyFont="1" applyBorder="1" applyProtection="1">
      <alignment vertical="center"/>
      <protection locked="0"/>
    </xf>
    <xf numFmtId="177" fontId="3" fillId="0" borderId="6" xfId="1" applyNumberFormat="1" applyFont="1" applyBorder="1" applyProtection="1">
      <alignment vertical="center"/>
      <protection locked="0"/>
    </xf>
    <xf numFmtId="177" fontId="3" fillId="0" borderId="1" xfId="1" applyNumberFormat="1" applyFont="1" applyBorder="1" applyProtection="1">
      <alignment vertical="center"/>
      <protection locked="0"/>
    </xf>
    <xf numFmtId="177" fontId="5" fillId="0" borderId="6" xfId="1" applyNumberFormat="1" applyFont="1" applyBorder="1" applyProtection="1">
      <alignment vertical="center"/>
      <protection locked="0"/>
    </xf>
    <xf numFmtId="177" fontId="5" fillId="0" borderId="1" xfId="1" applyNumberFormat="1" applyFont="1" applyBorder="1" applyProtection="1">
      <alignment vertical="center"/>
      <protection locked="0"/>
    </xf>
    <xf numFmtId="177" fontId="21" fillId="0" borderId="1" xfId="1" applyNumberFormat="1" applyFont="1" applyBorder="1" applyProtection="1">
      <alignment vertical="center"/>
      <protection locked="0"/>
    </xf>
    <xf numFmtId="177" fontId="3" fillId="0" borderId="0" xfId="1" applyNumberFormat="1" applyFont="1">
      <alignment vertical="center"/>
    </xf>
    <xf numFmtId="177" fontId="3" fillId="0" borderId="7" xfId="1" applyNumberFormat="1" applyFont="1" applyBorder="1" applyAlignment="1" applyProtection="1">
      <alignment horizontal="center" vertical="center"/>
      <protection locked="0"/>
    </xf>
    <xf numFmtId="177" fontId="3" fillId="0" borderId="9" xfId="1" applyNumberFormat="1" applyFont="1" applyBorder="1" applyAlignment="1" applyProtection="1">
      <alignment horizontal="center" vertical="center"/>
      <protection locked="0"/>
    </xf>
    <xf numFmtId="177" fontId="5" fillId="0" borderId="7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177" fontId="3" fillId="9" borderId="1" xfId="1" applyNumberFormat="1" applyFont="1" applyFill="1" applyBorder="1" applyProtection="1">
      <alignment vertical="center"/>
      <protection locked="0"/>
    </xf>
    <xf numFmtId="3" fontId="16" fillId="9" borderId="1" xfId="0" applyNumberFormat="1" applyFont="1" applyFill="1" applyBorder="1" applyAlignment="1" applyProtection="1">
      <alignment horizontal="center" vertical="center"/>
      <protection locked="0"/>
    </xf>
    <xf numFmtId="3" fontId="0" fillId="9" borderId="1" xfId="0" applyNumberFormat="1" applyFill="1" applyBorder="1" applyAlignment="1" applyProtection="1">
      <alignment horizontal="center" vertical="center"/>
      <protection locked="0"/>
    </xf>
    <xf numFmtId="181" fontId="0" fillId="0" borderId="0" xfId="0" applyNumberFormat="1">
      <alignment vertical="center"/>
    </xf>
    <xf numFmtId="0" fontId="22" fillId="9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1" quotePrefix="1" applyNumberFormat="1" applyFont="1" applyBorder="1" applyProtection="1">
      <alignment vertical="center"/>
      <protection locked="0"/>
    </xf>
    <xf numFmtId="0" fontId="16" fillId="9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left" vertical="top" wrapText="1"/>
    </xf>
    <xf numFmtId="176" fontId="7" fillId="0" borderId="4" xfId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vertical="center" wrapText="1"/>
    </xf>
    <xf numFmtId="0" fontId="20" fillId="8" borderId="3" xfId="0" applyFont="1" applyFill="1" applyBorder="1" applyAlignment="1">
      <alignment vertical="center" wrapText="1"/>
    </xf>
    <xf numFmtId="0" fontId="20" fillId="8" borderId="4" xfId="0" applyFont="1" applyFill="1" applyBorder="1" applyAlignment="1">
      <alignment vertical="center" wrapText="1"/>
    </xf>
    <xf numFmtId="0" fontId="9" fillId="7" borderId="1" xfId="0" quotePrefix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49" fontId="9" fillId="7" borderId="2" xfId="0" quotePrefix="1" applyNumberFormat="1" applyFont="1" applyFill="1" applyBorder="1" applyAlignment="1">
      <alignment horizontal="center" vertical="center" wrapText="1"/>
    </xf>
    <xf numFmtId="49" fontId="9" fillId="7" borderId="3" xfId="0" quotePrefix="1" applyNumberFormat="1" applyFont="1" applyFill="1" applyBorder="1" applyAlignment="1">
      <alignment horizontal="center" vertical="center" wrapText="1"/>
    </xf>
    <xf numFmtId="49" fontId="9" fillId="7" borderId="4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0" fontId="28" fillId="9" borderId="1" xfId="0" quotePrefix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left" vertical="center"/>
      <protection locked="0"/>
    </xf>
  </cellXfs>
  <cellStyles count="4">
    <cellStyle name="一般" xfId="0" builtinId="0"/>
    <cellStyle name="千分位" xfId="1" builtinId="3"/>
    <cellStyle name="千分位 2" xfId="3" xr:uid="{B3F2A8EC-E37F-4F26-B424-DAA2693CE8E9}"/>
    <cellStyle name="中等" xfId="2" builtinId="28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ahotw-my.sharepoint.com/personal/950491_tahoho_com_tw/Documents/&#26700;&#38754;/&#38928;&#31639;&#32232;&#21015;/2024/IT%20capex%20opex-2023-2029&#38928;&#31639;&#34920;(20230809).xlsx" TargetMode="External"/><Relationship Id="rId1" Type="http://schemas.openxmlformats.org/officeDocument/2006/relationships/externalLinkPath" Target="IT%20capex%20opex-2023-2029&#38928;&#31639;&#34920;(2023080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作表1"/>
      <sheetName val="2022 Budget"/>
      <sheetName val="2022預算"/>
      <sheetName val="2023預算-拆分至各廠"/>
      <sheetName val="2023預算"/>
      <sheetName val="2024預算"/>
      <sheetName val="2024預算-拆分至各廠"/>
      <sheetName val="2025預算"/>
      <sheetName val="2026預算"/>
      <sheetName val="2027預算"/>
      <sheetName val="2028預算"/>
      <sheetName val="2029預算"/>
      <sheetName val="Total"/>
    </sheetNames>
    <sheetDataSet>
      <sheetData sheetId="0"/>
      <sheetData sheetId="1"/>
      <sheetData sheetId="2"/>
      <sheetData sheetId="3"/>
      <sheetData sheetId="4">
        <row r="45">
          <cell r="D45">
            <v>9800000</v>
          </cell>
        </row>
        <row r="46">
          <cell r="D46">
            <v>5400579.4573643412</v>
          </cell>
        </row>
      </sheetData>
      <sheetData sheetId="5"/>
      <sheetData sheetId="6"/>
      <sheetData sheetId="7">
        <row r="45">
          <cell r="D45">
            <v>4500000</v>
          </cell>
        </row>
        <row r="46">
          <cell r="D46">
            <v>13893220.790697671</v>
          </cell>
        </row>
      </sheetData>
      <sheetData sheetId="8">
        <row r="45">
          <cell r="D45">
            <v>1500000</v>
          </cell>
        </row>
        <row r="46">
          <cell r="D46">
            <v>8134970.7906976752</v>
          </cell>
        </row>
      </sheetData>
      <sheetData sheetId="9">
        <row r="45">
          <cell r="D45">
            <v>6500000</v>
          </cell>
        </row>
        <row r="46">
          <cell r="D46">
            <v>7418454.1400000006</v>
          </cell>
        </row>
      </sheetData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總公司 駱正達 Chengta.Lo" id="{B00CDAED-405E-4176-83BE-9C50886B89D4}" userId="S::950491@tahoho.com.tw::880389ed-d28b-4a20-9a2a-a899dc74cef3" providerId="AD"/>
</personList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4-05-03T07:18:44.01" personId="{B00CDAED-405E-4176-83BE-9C50886B89D4}" id="{98F90223-3572-4616-A076-4A7D736134D9}">
    <text>總處2024.3.1起一年每季請款</text>
  </threadedComment>
  <threadedComment ref="J4" dT="2024-03-07T03:27:43.36" personId="{B00CDAED-405E-4176-83BE-9C50886B89D4}" id="{8FE61067-474E-4C2C-B8FA-B63525C7D4C0}">
    <text>IBM storage、server*1</text>
  </threadedComment>
  <threadedComment ref="J5" dT="2024-03-07T03:25:55.92" personId="{B00CDAED-405E-4176-83BE-9C50886B89D4}" id="{C735EA4E-AEB8-4F18-9010-F4E57CCE6EDB}">
    <text>王總</text>
  </threadedComment>
  <threadedComment ref="K5" dT="2024-03-07T03:26:05.12" personId="{B00CDAED-405E-4176-83BE-9C50886B89D4}" id="{8F4A8C47-CB74-4C91-8365-B45CB30F5C46}">
    <text>蘇協理</text>
  </threadedComment>
  <threadedComment ref="L5" dT="2024-03-07T03:26:55.44" personId="{B00CDAED-405E-4176-83BE-9C50886B89D4}" id="{80B209DE-69A8-4AF7-87E5-DA3A5D9D4BCF}">
    <text>3C週邊、線材</text>
  </threadedComment>
  <threadedComment ref="M5" dT="2024-07-09T11:07:42.70" personId="{B00CDAED-405E-4176-83BE-9C50886B89D4}" id="{31B2E096-B93E-4B9D-99BE-3FA93C21DD59}">
    <text>備用PC、NB及type-c擴充器及外接碟</text>
  </threadedComment>
  <threadedComment ref="N5" dT="2024-07-09T11:11:47.59" personId="{B00CDAED-405E-4176-83BE-9C50886B89D4}" id="{10E47AE1-1151-44AF-B656-7C57F1B677BA}">
    <text>Server增加ram(70000)</text>
  </threadedComment>
  <threadedComment ref="O5" dT="2024-08-14T08:35:08.43" personId="{B00CDAED-405E-4176-83BE-9C50886B89D4}" id="{578FF4FF-8BE9-47D9-B99A-A9B0E5B7745F}">
    <text>Wifi機變壓器兩個</text>
  </threadedComment>
  <threadedComment ref="J13" dT="2024-05-03T06:28:53.10" personId="{B00CDAED-405E-4176-83BE-9C50886B89D4}" id="{4C0DBCCF-FFF2-48AA-A49A-5E6946C6786D}">
    <text>尚未驗收</text>
  </threadedComment>
  <threadedComment ref="J17" dT="2024-03-07T03:25:38.14" personId="{B00CDAED-405E-4176-83BE-9C50886B89D4}" id="{6CCFF27A-06FA-465A-A09A-6A693EABBD07}">
    <text>AutoCAD 3D 大發</text>
  </threadedComment>
  <threadedComment ref="K17" dT="2024-05-03T03:19:17.83" personId="{B00CDAED-405E-4176-83BE-9C50886B89D4}" id="{666323B8-C38A-4418-8621-CB872A69140D}">
    <text>無蝦米2套</text>
  </threadedComment>
  <threadedComment ref="L17" dT="2024-05-03T03:19:49.62" personId="{B00CDAED-405E-4176-83BE-9C50886B89D4}" id="{18E7467E-8F89-4662-A31A-A2E610C64196}">
    <text>PDF-Xchange 3套</text>
  </threadedComment>
  <threadedComment ref="M17" dT="2024-05-03T03:21:24.24" personId="{B00CDAED-405E-4176-83BE-9C50886B89D4}" id="{F0EAAD3F-1F87-4259-998C-7661CA8538D4}">
    <text>Visio 方案2</text>
  </threadedComment>
  <threadedComment ref="N17" dT="2024-07-03T07:13:34.85" personId="{B00CDAED-405E-4176-83BE-9C50886B89D4}" id="{31D2C1D9-224D-44F9-946A-8A04EB45CD31}">
    <text>總處O365*38+Ex*5</text>
  </threadedComment>
  <threadedComment ref="J18" dT="2024-04-03T07:56:14.06" personId="{B00CDAED-405E-4176-83BE-9C50886B89D4}" id="{086F94B4-984F-404C-9D74-0A600059027C}">
    <text>2023年帳號費用</text>
  </threadedComment>
  <threadedComment ref="J24" dT="2024-06-13T09:33:40.60" personId="{B00CDAED-405E-4176-83BE-9C50886B89D4}" id="{91F6F293-F5B4-44BC-AC9C-C59F7FD517E4}">
    <text>Acronis VM*1</text>
  </threadedComment>
  <threadedComment ref="J26" dT="2024-04-03T08:27:24.41" personId="{B00CDAED-405E-4176-83BE-9C50886B89D4}" id="{6D5EC770-9A14-44E3-90E2-0A47D49CE750}">
    <text>總處：49854</text>
  </threadedComment>
  <threadedComment ref="J29" dT="2024-04-03T08:43:04.34" personId="{B00CDAED-405E-4176-83BE-9C50886B89D4}" id="{9BCE5AE5-EC60-4FDD-B831-3E041937BE6F}">
    <text>到114年</text>
  </threadedComment>
  <threadedComment ref="J32" dT="2024-04-03T09:26:07.56" personId="{B00CDAED-405E-4176-83BE-9C50886B89D4}" id="{21A399DA-7CE3-4CA6-9671-D3BEA900354E}">
    <text>犯罪訊息來源判斷與鑑定</text>
  </threadedComment>
  <threadedComment ref="K32" dT="2024-04-03T09:24:52.13" personId="{B00CDAED-405E-4176-83BE-9C50886B89D4}" id="{FCC16B81-D4BE-450A-946E-5F130B47BF4E}">
    <text>恆逸-軟實力</text>
  </threadedComment>
  <threadedComment ref="L32" dT="2024-04-03T09:26:30.75" personId="{B00CDAED-405E-4176-83BE-9C50886B89D4}" id="{0DEECC01-7533-4A2D-BAFD-36159DC998DD}">
    <text>資安通識教育訓練</text>
  </threadedComment>
  <threadedComment ref="J39" dT="2024-08-26T01:58:17.07" personId="{B00CDAED-405E-4176-83BE-9C50886B89D4}" id="{0F5BE0B6-E9F0-4CC2-B644-21B51533EEF9}">
    <text>前一年度預算</text>
  </threadedComment>
  <threadedComment ref="K39" dT="2024-07-03T07:15:43.21" personId="{B00CDAED-405E-4176-83BE-9C50886B89D4}" id="{574BF62E-7A75-4055-9AF5-A98EC5F19987}">
    <text>採購模組專案需求確定款</text>
  </threadedComment>
  <threadedComment ref="J40" dT="2024-05-03T03:38:47.95" personId="{B00CDAED-405E-4176-83BE-9C50886B89D4}" id="{FA8C54D4-B058-4C4F-ACCF-E1C09B4D8849}">
    <text>2023年度 E2C (Edge to Cloud)
由總處.宜蘭.永康.八里,.新店.,樹林
六個單位平均分攤(每單位50391)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3" dT="2024-05-03T03:20:58.27" personId="{B00CDAED-405E-4176-83BE-9C50886B89D4}" id="{25B311F4-D226-4AF1-AB94-02553B3AB2B4}">
    <text>AutoCad LT *2 (八里)</text>
  </threadedComment>
  <threadedComment ref="L23" dT="2024-05-03T03:20:25.19" personId="{B00CDAED-405E-4176-83BE-9C50886B89D4}" id="{AFDC710F-0951-4ABB-A631-CFDA5B227A92}">
    <text xml:space="preserve">Adobe 繪圖訂閱1年(台中)
</text>
  </threadedComment>
  <threadedComment ref="Q26" dT="2024-04-03T08:45:35.55" personId="{B00CDAED-405E-4176-83BE-9C50886B89D4}" id="{02979FF3-9EC6-416E-BEDF-1F5DA32B20BD}">
    <text>各單位不含總處 NT$ 211,544</text>
  </threadedComment>
  <threadedComment ref="C27" dT="2024-05-03T07:05:41.44" personId="{B00CDAED-405E-4176-83BE-9C50886B89D4}" id="{0CB6E5DA-AEDF-450C-AD0D-9C7D89C84C36}">
    <text>尚未驗收報核</text>
  </threadedComment>
  <threadedComment ref="C39" dT="2024-05-03T07:06:02.48" personId="{B00CDAED-405E-4176-83BE-9C50886B89D4}" id="{191A78FC-6441-4D9F-99A7-9D5816C94446}">
    <text>尚未驗收報核</text>
  </threadedComment>
  <threadedComment ref="C53" dT="2024-05-03T07:06:22.30" personId="{B00CDAED-405E-4176-83BE-9C50886B89D4}" id="{CA7D8B92-D586-4513-9073-E3404AEDC8EB}">
    <text>尚未驗收報核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4" dT="2024-05-21T02:24:58.40" personId="{B00CDAED-405E-4176-83BE-9C50886B89D4}" id="{D6EC274E-3F68-4B77-98E1-0C8B0CAA762E}">
    <text>Adobe Creative Cloud</text>
  </threadedComment>
  <threadedComment ref="K10" dT="2024-09-12T01:49:09.84" personId="{B00CDAED-405E-4176-83BE-9C50886B89D4}" id="{79EF3F0D-F8D7-4CB1-83FE-F52F7A74B96F}">
    <text>授權費</text>
  </threadedComment>
  <threadedComment ref="L10" dT="2024-09-12T01:49:40.68" personId="{B00CDAED-405E-4176-83BE-9C50886B89D4}" id="{853AC52C-8120-4112-A162-8DEF80A5828E}">
    <text>技術支援及保養</text>
  </threadedComment>
  <threadedComment ref="K11" dT="2024-09-12T01:49:16.92" personId="{B00CDAED-405E-4176-83BE-9C50886B89D4}" id="{A1B57D9C-8815-41E3-8562-70870621724A}">
    <text>授權費</text>
  </threadedComment>
  <threadedComment ref="L11" dT="2024-09-12T01:49:46.85" personId="{B00CDAED-405E-4176-83BE-9C50886B89D4}" id="{57B841DF-F1AF-421C-92F4-910044917368}">
    <text>技術支援及保養</text>
  </threadedComment>
  <threadedComment ref="G13" dT="2024-04-03T08:29:53.27" personId="{B00CDAED-405E-4176-83BE-9C50886B89D4}" id="{1377DBF1-38D6-4C0A-BBAA-7D4A8C2A9D3D}">
    <text>2024年度</text>
  </threadedComment>
  <threadedComment ref="O13" dT="2024-04-03T08:29:44.20" personId="{B00CDAED-405E-4176-83BE-9C50886B89D4}" id="{3E2D1573-86D1-4AA0-B435-85CDBC9F6E6B}">
    <text>2025年度</text>
  </threadedComment>
  <threadedComment ref="F28" dT="2024-04-03T08:41:32.09" personId="{B00CDAED-405E-4176-83BE-9C50886B89D4}" id="{491959EE-52B9-43EB-8FEB-49079A91808D}">
    <text>到114年度3月</text>
  </threadedComment>
  <threadedComment ref="I30" dT="2024-06-27T09:07:37.38" personId="{B00CDAED-405E-4176-83BE-9C50886B89D4}" id="{F89A8DEE-298C-4DF3-9DDF-A7BAE0B05D23}">
    <text>至2026年6月</text>
  </threadedComment>
  <threadedComment ref="D33" dT="2024-05-06T08:42:06.07" personId="{B00CDAED-405E-4176-83BE-9C50886B89D4}" id="{83A03D15-651F-426C-92C0-70C02CC10694}">
    <text>總經理未核准</text>
  </threadedComment>
  <threadedComment ref="G34" dT="2024-05-21T03:33:03.06" personId="{B00CDAED-405E-4176-83BE-9C50886B89D4}" id="{71F5F52E-30DC-46FA-B17C-864FFD7B18DF}">
    <text>約30萬，簽約中</text>
  </threadedComment>
  <threadedComment ref="I36" dT="2024-09-12T01:35:33.06" personId="{B00CDAED-405E-4176-83BE-9C50886B89D4}" id="{D83E6C3B-38F6-4CFB-BC20-361E3A17125E}">
    <text>採購模組(第一期款)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47D26-BF6A-411B-9A26-8735020E215B}">
  <sheetPr codeName="工作表1">
    <tabColor rgb="FFFFFF00"/>
    <pageSetUpPr fitToPage="1"/>
  </sheetPr>
  <dimension ref="A1:AC50"/>
  <sheetViews>
    <sheetView zoomScale="70" zoomScaleNormal="70" workbookViewId="0">
      <pane xSplit="3" ySplit="1" topLeftCell="D1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"/>
    </sheetView>
  </sheetViews>
  <sheetFormatPr defaultColWidth="9" defaultRowHeight="16.2" x14ac:dyDescent="0.3"/>
  <cols>
    <col min="1" max="1" width="6.21875" style="5" customWidth="1"/>
    <col min="2" max="2" width="9.44140625" style="38" customWidth="1"/>
    <col min="3" max="3" width="31.109375" style="39" bestFit="1" customWidth="1"/>
    <col min="4" max="4" width="13" style="39" customWidth="1"/>
    <col min="5" max="5" width="13.6640625" style="5" hidden="1" customWidth="1"/>
    <col min="6" max="6" width="11.109375" style="42" hidden="1" customWidth="1"/>
    <col min="7" max="7" width="48.33203125" style="43" customWidth="1"/>
    <col min="8" max="8" width="17.5546875" style="5" hidden="1" customWidth="1"/>
    <col min="9" max="9" width="17" style="38" customWidth="1"/>
    <col min="10" max="10" width="11.88671875" style="96" bestFit="1" customWidth="1"/>
    <col min="11" max="11" width="11.21875" style="96" customWidth="1"/>
    <col min="12" max="13" width="9" style="96" customWidth="1"/>
    <col min="14" max="14" width="10.44140625" style="96" customWidth="1"/>
    <col min="15" max="15" width="10.5546875" style="96" customWidth="1"/>
    <col min="16" max="29" width="9" style="96" customWidth="1"/>
    <col min="30" max="16384" width="9" style="5"/>
  </cols>
  <sheetData>
    <row r="1" spans="1:29" ht="16.8" thickBot="1" x14ac:dyDescent="0.35">
      <c r="A1" s="1"/>
      <c r="B1" s="110" t="s">
        <v>0</v>
      </c>
      <c r="C1" s="110"/>
      <c r="D1" s="2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7" t="s">
        <v>128</v>
      </c>
      <c r="J1" s="87">
        <v>1</v>
      </c>
      <c r="K1" s="88">
        <v>2</v>
      </c>
      <c r="L1" s="88">
        <v>3</v>
      </c>
      <c r="M1" s="88">
        <v>4</v>
      </c>
      <c r="N1" s="88">
        <v>5</v>
      </c>
      <c r="O1" s="88">
        <v>6</v>
      </c>
      <c r="P1" s="88">
        <v>7</v>
      </c>
      <c r="Q1" s="88">
        <v>8</v>
      </c>
      <c r="R1" s="88">
        <v>9</v>
      </c>
      <c r="S1" s="88">
        <v>10</v>
      </c>
      <c r="T1" s="88">
        <v>11</v>
      </c>
      <c r="U1" s="88">
        <v>12</v>
      </c>
      <c r="V1" s="88">
        <v>13</v>
      </c>
      <c r="W1" s="88">
        <v>14</v>
      </c>
      <c r="X1" s="88">
        <v>15</v>
      </c>
      <c r="Y1" s="88">
        <v>16</v>
      </c>
      <c r="Z1" s="88">
        <v>17</v>
      </c>
      <c r="AA1" s="88">
        <v>18</v>
      </c>
      <c r="AB1" s="88">
        <v>19</v>
      </c>
      <c r="AC1" s="88">
        <v>20</v>
      </c>
    </row>
    <row r="2" spans="1:29" ht="16.8" thickTop="1" x14ac:dyDescent="0.3">
      <c r="A2" s="110" t="s">
        <v>6</v>
      </c>
      <c r="B2" s="111" t="s">
        <v>7</v>
      </c>
      <c r="C2" s="6" t="s">
        <v>8</v>
      </c>
      <c r="D2" s="7">
        <v>100000</v>
      </c>
      <c r="E2" s="7">
        <v>300000</v>
      </c>
      <c r="F2" s="8">
        <f t="shared" ref="F2:F32" si="0">D2-E2</f>
        <v>-200000</v>
      </c>
      <c r="G2" s="9" t="s">
        <v>9</v>
      </c>
      <c r="I2" s="98">
        <f t="shared" ref="I2:I28" si="1">SUM(J2:AC2)</f>
        <v>32000</v>
      </c>
      <c r="J2" s="89">
        <v>32000</v>
      </c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x14ac:dyDescent="0.3">
      <c r="A3" s="110"/>
      <c r="B3" s="111"/>
      <c r="C3" s="6" t="s">
        <v>10</v>
      </c>
      <c r="D3" s="7">
        <v>100000</v>
      </c>
      <c r="E3" s="7">
        <v>0</v>
      </c>
      <c r="F3" s="8"/>
      <c r="G3" s="9" t="s">
        <v>11</v>
      </c>
      <c r="I3" s="97">
        <f t="shared" si="1"/>
        <v>0</v>
      </c>
      <c r="J3" s="91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</row>
    <row r="4" spans="1:29" x14ac:dyDescent="0.3">
      <c r="A4" s="110"/>
      <c r="B4" s="111"/>
      <c r="C4" s="6" t="s">
        <v>12</v>
      </c>
      <c r="D4" s="7">
        <v>120000</v>
      </c>
      <c r="E4" s="7">
        <v>120000</v>
      </c>
      <c r="F4" s="8">
        <f t="shared" si="0"/>
        <v>0</v>
      </c>
      <c r="G4" s="9"/>
      <c r="I4" s="97">
        <f t="shared" si="1"/>
        <v>46070</v>
      </c>
      <c r="J4" s="91">
        <v>46070</v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</row>
    <row r="5" spans="1:29" x14ac:dyDescent="0.3">
      <c r="A5" s="110"/>
      <c r="B5" s="111"/>
      <c r="C5" s="6" t="s">
        <v>13</v>
      </c>
      <c r="D5" s="7">
        <v>500000</v>
      </c>
      <c r="E5" s="7">
        <v>540000</v>
      </c>
      <c r="F5" s="8">
        <f t="shared" si="0"/>
        <v>-40000</v>
      </c>
      <c r="G5" s="9" t="s">
        <v>14</v>
      </c>
      <c r="I5" s="97">
        <f t="shared" si="1"/>
        <v>263992</v>
      </c>
      <c r="J5" s="91">
        <v>58952</v>
      </c>
      <c r="K5" s="92">
        <v>39200</v>
      </c>
      <c r="L5" s="92">
        <v>16640</v>
      </c>
      <c r="M5" s="92">
        <v>77400</v>
      </c>
      <c r="N5" s="92">
        <v>70000</v>
      </c>
      <c r="O5" s="92">
        <v>1800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</row>
    <row r="6" spans="1:29" ht="33" customHeight="1" x14ac:dyDescent="0.3">
      <c r="A6" s="110"/>
      <c r="B6" s="111"/>
      <c r="C6" s="10" t="s">
        <v>15</v>
      </c>
      <c r="D6" s="7">
        <v>90909.090909090912</v>
      </c>
      <c r="E6" s="7">
        <v>0</v>
      </c>
      <c r="F6" s="8"/>
      <c r="G6" s="11" t="s">
        <v>16</v>
      </c>
      <c r="I6" s="97">
        <f t="shared" si="1"/>
        <v>0</v>
      </c>
      <c r="J6" s="91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</row>
    <row r="7" spans="1:29" x14ac:dyDescent="0.3">
      <c r="A7" s="110"/>
      <c r="B7" s="111"/>
      <c r="C7" s="6" t="s">
        <v>17</v>
      </c>
      <c r="D7" s="12">
        <v>500000</v>
      </c>
      <c r="E7" s="7">
        <v>500000</v>
      </c>
      <c r="F7" s="8">
        <f t="shared" si="0"/>
        <v>0</v>
      </c>
      <c r="G7" s="9"/>
      <c r="H7" s="13"/>
      <c r="I7" s="97">
        <f t="shared" si="1"/>
        <v>0</v>
      </c>
      <c r="J7" s="91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</row>
    <row r="8" spans="1:29" x14ac:dyDescent="0.3">
      <c r="A8" s="110"/>
      <c r="B8" s="112" t="s">
        <v>18</v>
      </c>
      <c r="C8" s="1" t="s">
        <v>129</v>
      </c>
      <c r="D8" s="7">
        <v>100000</v>
      </c>
      <c r="E8" s="7">
        <v>100000</v>
      </c>
      <c r="F8" s="8">
        <f t="shared" si="0"/>
        <v>0</v>
      </c>
      <c r="G8" s="115" t="s">
        <v>131</v>
      </c>
      <c r="I8" s="97">
        <f t="shared" si="1"/>
        <v>0</v>
      </c>
      <c r="J8" s="91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</row>
    <row r="9" spans="1:29" x14ac:dyDescent="0.3">
      <c r="A9" s="110"/>
      <c r="B9" s="113"/>
      <c r="C9" s="1" t="s">
        <v>130</v>
      </c>
      <c r="D9" s="7">
        <v>100000</v>
      </c>
      <c r="E9" s="7">
        <v>100000</v>
      </c>
      <c r="F9" s="8">
        <f t="shared" si="0"/>
        <v>0</v>
      </c>
      <c r="G9" s="116"/>
      <c r="I9" s="97">
        <f t="shared" si="1"/>
        <v>0</v>
      </c>
      <c r="J9" s="91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</row>
    <row r="10" spans="1:29" ht="64.8" x14ac:dyDescent="0.3">
      <c r="A10" s="110"/>
      <c r="B10" s="113"/>
      <c r="C10" s="1" t="s">
        <v>20</v>
      </c>
      <c r="D10" s="7">
        <v>276676</v>
      </c>
      <c r="E10" s="7">
        <v>100000</v>
      </c>
      <c r="F10" s="8">
        <f>D10-E10</f>
        <v>176676</v>
      </c>
      <c r="G10" s="11" t="s">
        <v>21</v>
      </c>
      <c r="I10" s="97">
        <f t="shared" si="1"/>
        <v>0</v>
      </c>
      <c r="J10" s="91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</row>
    <row r="11" spans="1:29" x14ac:dyDescent="0.3">
      <c r="A11" s="110"/>
      <c r="B11" s="114"/>
      <c r="C11" s="1" t="s">
        <v>22</v>
      </c>
      <c r="D11" s="7">
        <f>1000000/12</f>
        <v>83333.333333333328</v>
      </c>
      <c r="E11" s="7">
        <v>0</v>
      </c>
      <c r="F11" s="8">
        <f t="shared" si="0"/>
        <v>83333.333333333328</v>
      </c>
      <c r="G11" s="11" t="s">
        <v>23</v>
      </c>
      <c r="I11" s="97">
        <f t="shared" si="1"/>
        <v>0</v>
      </c>
      <c r="J11" s="91"/>
      <c r="K11" s="92"/>
      <c r="L11" s="92"/>
      <c r="M11" s="92"/>
      <c r="N11" s="90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</row>
    <row r="12" spans="1:29" x14ac:dyDescent="0.3">
      <c r="A12" s="110"/>
      <c r="B12" s="117" t="s">
        <v>24</v>
      </c>
      <c r="C12" s="1" t="s">
        <v>19</v>
      </c>
      <c r="D12" s="7">
        <v>15000</v>
      </c>
      <c r="E12" s="7">
        <v>15000</v>
      </c>
      <c r="F12" s="8">
        <f>D12-E12</f>
        <v>0</v>
      </c>
      <c r="G12" s="11" t="s">
        <v>25</v>
      </c>
      <c r="I12" s="97"/>
      <c r="J12" s="91">
        <v>60000</v>
      </c>
      <c r="K12" s="92" t="s">
        <v>207</v>
      </c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</row>
    <row r="13" spans="1:29" x14ac:dyDescent="0.3">
      <c r="A13" s="110"/>
      <c r="B13" s="118"/>
      <c r="C13" s="1" t="s">
        <v>26</v>
      </c>
      <c r="D13" s="7">
        <v>30525</v>
      </c>
      <c r="E13" s="7">
        <v>0</v>
      </c>
      <c r="F13" s="8">
        <f t="shared" si="0"/>
        <v>30525</v>
      </c>
      <c r="G13" s="11" t="s">
        <v>27</v>
      </c>
      <c r="I13" s="97">
        <f t="shared" si="1"/>
        <v>475200</v>
      </c>
      <c r="J13" s="91">
        <v>475200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x14ac:dyDescent="0.3">
      <c r="A14" s="110"/>
      <c r="B14" s="118"/>
      <c r="C14" s="1" t="s">
        <v>28</v>
      </c>
      <c r="D14" s="7">
        <v>13537</v>
      </c>
      <c r="E14" s="7">
        <v>0</v>
      </c>
      <c r="F14" s="8">
        <f t="shared" si="0"/>
        <v>13537</v>
      </c>
      <c r="G14" s="11" t="s">
        <v>29</v>
      </c>
      <c r="I14" s="97">
        <f t="shared" si="1"/>
        <v>0</v>
      </c>
      <c r="J14" s="91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</row>
    <row r="15" spans="1:29" x14ac:dyDescent="0.3">
      <c r="A15" s="110"/>
      <c r="B15" s="118"/>
      <c r="C15" s="1" t="s">
        <v>22</v>
      </c>
      <c r="D15" s="7">
        <v>39375</v>
      </c>
      <c r="E15" s="7">
        <v>0</v>
      </c>
      <c r="F15" s="8">
        <f t="shared" si="0"/>
        <v>39375</v>
      </c>
      <c r="G15" s="11" t="s">
        <v>30</v>
      </c>
      <c r="I15" s="97">
        <f t="shared" si="1"/>
        <v>0</v>
      </c>
      <c r="J15" s="91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</row>
    <row r="16" spans="1:29" x14ac:dyDescent="0.3">
      <c r="A16" s="110"/>
      <c r="B16" s="118"/>
      <c r="C16" s="1" t="s">
        <v>132</v>
      </c>
      <c r="D16" s="7">
        <v>0</v>
      </c>
      <c r="E16" s="7"/>
      <c r="F16" s="8"/>
      <c r="G16" s="14" t="s">
        <v>204</v>
      </c>
      <c r="I16" s="97"/>
      <c r="J16" s="91">
        <v>1018000</v>
      </c>
      <c r="K16" s="92" t="s">
        <v>205</v>
      </c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</row>
    <row r="17" spans="1:29" ht="81" x14ac:dyDescent="0.3">
      <c r="A17" s="110"/>
      <c r="B17" s="118"/>
      <c r="C17" s="1" t="s">
        <v>31</v>
      </c>
      <c r="D17" s="7">
        <v>600000</v>
      </c>
      <c r="E17" s="7">
        <v>150000</v>
      </c>
      <c r="F17" s="8">
        <f t="shared" si="0"/>
        <v>450000</v>
      </c>
      <c r="G17" s="14" t="s">
        <v>32</v>
      </c>
      <c r="H17">
        <v>140943</v>
      </c>
      <c r="I17" s="97">
        <f t="shared" si="1"/>
        <v>216796</v>
      </c>
      <c r="J17" s="91">
        <v>60000</v>
      </c>
      <c r="K17" s="92">
        <v>1886</v>
      </c>
      <c r="L17" s="92">
        <v>5029</v>
      </c>
      <c r="M17" s="92">
        <v>4800</v>
      </c>
      <c r="N17" s="92">
        <v>145081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</row>
    <row r="18" spans="1:29" ht="31.2" x14ac:dyDescent="0.3">
      <c r="A18" s="110"/>
      <c r="B18" s="112" t="s">
        <v>33</v>
      </c>
      <c r="C18" s="1" t="s">
        <v>34</v>
      </c>
      <c r="D18" s="7">
        <v>253463</v>
      </c>
      <c r="E18" s="7">
        <v>82300</v>
      </c>
      <c r="F18" s="8">
        <f t="shared" si="0"/>
        <v>171163</v>
      </c>
      <c r="G18" s="15" t="s">
        <v>35</v>
      </c>
      <c r="H18" s="5">
        <v>253463</v>
      </c>
      <c r="I18" s="97">
        <f t="shared" si="1"/>
        <v>168604</v>
      </c>
      <c r="J18" s="91">
        <v>168604</v>
      </c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</row>
    <row r="19" spans="1:29" x14ac:dyDescent="0.3">
      <c r="A19" s="110"/>
      <c r="B19" s="113"/>
      <c r="C19" s="16" t="s">
        <v>36</v>
      </c>
      <c r="D19" s="7">
        <v>6000</v>
      </c>
      <c r="E19" s="7">
        <v>6000</v>
      </c>
      <c r="F19" s="8">
        <f t="shared" si="0"/>
        <v>0</v>
      </c>
      <c r="G19" s="9"/>
      <c r="I19" s="97">
        <f t="shared" si="1"/>
        <v>0</v>
      </c>
      <c r="J19" s="91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</row>
    <row r="20" spans="1:29" s="19" customFormat="1" ht="32.4" x14ac:dyDescent="0.3">
      <c r="A20" s="110"/>
      <c r="B20" s="113"/>
      <c r="C20" s="16" t="s">
        <v>37</v>
      </c>
      <c r="D20" s="17">
        <v>151200</v>
      </c>
      <c r="E20" s="17">
        <v>151200</v>
      </c>
      <c r="F20" s="8">
        <f t="shared" si="0"/>
        <v>0</v>
      </c>
      <c r="G20" s="18" t="s">
        <v>38</v>
      </c>
      <c r="I20" s="99">
        <f t="shared" si="1"/>
        <v>0</v>
      </c>
      <c r="J20" s="93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</row>
    <row r="21" spans="1:29" s="19" customFormat="1" x14ac:dyDescent="0.3">
      <c r="A21" s="110"/>
      <c r="B21" s="113"/>
      <c r="C21" s="1" t="s">
        <v>39</v>
      </c>
      <c r="D21" s="7">
        <v>800000</v>
      </c>
      <c r="E21" s="7">
        <v>600000</v>
      </c>
      <c r="F21" s="8">
        <f t="shared" si="0"/>
        <v>200000</v>
      </c>
      <c r="G21" s="9" t="s">
        <v>40</v>
      </c>
      <c r="I21" s="99">
        <f t="shared" si="1"/>
        <v>0</v>
      </c>
      <c r="J21" s="93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</row>
    <row r="22" spans="1:29" s="19" customFormat="1" ht="48.6" x14ac:dyDescent="0.3">
      <c r="A22" s="110"/>
      <c r="B22" s="114"/>
      <c r="C22" s="1" t="s">
        <v>41</v>
      </c>
      <c r="D22" s="7">
        <v>88888.888888888891</v>
      </c>
      <c r="E22" s="7">
        <v>0</v>
      </c>
      <c r="F22" s="8">
        <f t="shared" si="0"/>
        <v>88888.888888888891</v>
      </c>
      <c r="G22" s="11" t="s">
        <v>42</v>
      </c>
      <c r="I22" s="99">
        <f t="shared" si="1"/>
        <v>0</v>
      </c>
      <c r="J22" s="93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</row>
    <row r="23" spans="1:29" s="19" customFormat="1" x14ac:dyDescent="0.3">
      <c r="A23" s="110" t="s">
        <v>43</v>
      </c>
      <c r="B23" s="119" t="s">
        <v>44</v>
      </c>
      <c r="C23" s="1" t="s">
        <v>45</v>
      </c>
      <c r="D23" s="7">
        <v>0</v>
      </c>
      <c r="E23" s="7">
        <v>100000</v>
      </c>
      <c r="F23" s="8">
        <f t="shared" si="0"/>
        <v>-100000</v>
      </c>
      <c r="G23" s="9"/>
      <c r="I23" s="99">
        <f t="shared" si="1"/>
        <v>0</v>
      </c>
      <c r="J23" s="93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</row>
    <row r="24" spans="1:29" s="19" customFormat="1" x14ac:dyDescent="0.3">
      <c r="A24" s="110"/>
      <c r="B24" s="119"/>
      <c r="C24" s="16" t="s">
        <v>46</v>
      </c>
      <c r="D24" s="7">
        <v>70000</v>
      </c>
      <c r="E24" s="7">
        <v>70000</v>
      </c>
      <c r="F24" s="8">
        <f t="shared" si="0"/>
        <v>0</v>
      </c>
      <c r="G24" s="11"/>
      <c r="I24" s="99">
        <f t="shared" si="1"/>
        <v>17500</v>
      </c>
      <c r="J24" s="92">
        <v>17500</v>
      </c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</row>
    <row r="25" spans="1:29" s="19" customFormat="1" x14ac:dyDescent="0.3">
      <c r="A25" s="110"/>
      <c r="B25" s="119"/>
      <c r="C25" s="1" t="s">
        <v>47</v>
      </c>
      <c r="D25" s="7">
        <v>250000</v>
      </c>
      <c r="E25" s="7">
        <v>250000</v>
      </c>
      <c r="F25" s="8">
        <f t="shared" si="0"/>
        <v>0</v>
      </c>
      <c r="G25" s="11"/>
      <c r="I25" s="99">
        <f t="shared" si="1"/>
        <v>0</v>
      </c>
      <c r="J25" s="93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</row>
    <row r="26" spans="1:29" s="19" customFormat="1" x14ac:dyDescent="0.3">
      <c r="A26" s="110"/>
      <c r="B26" s="119"/>
      <c r="C26" s="21" t="s">
        <v>48</v>
      </c>
      <c r="D26" s="7">
        <v>105000</v>
      </c>
      <c r="E26" s="7">
        <v>68250</v>
      </c>
      <c r="F26" s="8">
        <f t="shared" si="0"/>
        <v>36750</v>
      </c>
      <c r="G26" s="22" t="s">
        <v>49</v>
      </c>
      <c r="H26" s="23"/>
      <c r="I26" s="99">
        <f t="shared" si="1"/>
        <v>49854</v>
      </c>
      <c r="J26" s="93">
        <v>49854</v>
      </c>
      <c r="K26" s="94" t="s">
        <v>206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</row>
    <row r="27" spans="1:29" s="19" customFormat="1" x14ac:dyDescent="0.3">
      <c r="A27" s="110"/>
      <c r="B27" s="119"/>
      <c r="C27" s="1" t="s">
        <v>50</v>
      </c>
      <c r="D27" s="24">
        <v>100000</v>
      </c>
      <c r="E27" s="24">
        <v>0</v>
      </c>
      <c r="F27" s="8">
        <f t="shared" si="0"/>
        <v>100000</v>
      </c>
      <c r="G27" s="18" t="s">
        <v>51</v>
      </c>
      <c r="H27" s="23"/>
      <c r="I27" s="99">
        <f t="shared" si="1"/>
        <v>0</v>
      </c>
      <c r="J27" s="93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</row>
    <row r="28" spans="1:29" s="19" customFormat="1" x14ac:dyDescent="0.3">
      <c r="A28" s="110"/>
      <c r="B28" s="119"/>
      <c r="C28" s="1" t="s">
        <v>52</v>
      </c>
      <c r="D28" s="24">
        <v>100000</v>
      </c>
      <c r="E28" s="24">
        <v>0</v>
      </c>
      <c r="F28" s="8">
        <f t="shared" si="0"/>
        <v>100000</v>
      </c>
      <c r="G28" s="18" t="s">
        <v>53</v>
      </c>
      <c r="H28" s="23"/>
      <c r="I28" s="99">
        <f t="shared" si="1"/>
        <v>0</v>
      </c>
      <c r="J28" s="93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</row>
    <row r="29" spans="1:29" s="19" customFormat="1" x14ac:dyDescent="0.3">
      <c r="A29" s="110"/>
      <c r="B29" s="119"/>
      <c r="C29" s="1" t="s">
        <v>54</v>
      </c>
      <c r="D29" s="24">
        <v>200000</v>
      </c>
      <c r="E29" s="7">
        <v>0</v>
      </c>
      <c r="F29" s="8">
        <f t="shared" si="0"/>
        <v>200000</v>
      </c>
      <c r="G29" s="25"/>
      <c r="H29" s="23"/>
      <c r="I29" s="99">
        <f>SUM(J29:AC29)</f>
        <v>19048</v>
      </c>
      <c r="J29" s="93">
        <v>19048</v>
      </c>
      <c r="K29" s="94"/>
      <c r="L29" s="95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</row>
    <row r="30" spans="1:29" s="19" customFormat="1" x14ac:dyDescent="0.3">
      <c r="A30" s="110"/>
      <c r="B30" s="120" t="s">
        <v>55</v>
      </c>
      <c r="C30" s="10" t="s">
        <v>56</v>
      </c>
      <c r="D30" s="26">
        <v>800000</v>
      </c>
      <c r="E30" s="24">
        <v>800000</v>
      </c>
      <c r="F30" s="8">
        <f t="shared" si="0"/>
        <v>0</v>
      </c>
      <c r="G30" s="27" t="s">
        <v>57</v>
      </c>
      <c r="H30" s="23"/>
      <c r="I30" s="99">
        <f t="shared" ref="I30:I43" si="2">SUM(J30:AC30)</f>
        <v>0</v>
      </c>
      <c r="J30" s="93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</row>
    <row r="31" spans="1:29" s="19" customFormat="1" x14ac:dyDescent="0.3">
      <c r="A31" s="110"/>
      <c r="B31" s="120"/>
      <c r="C31" s="28" t="s">
        <v>58</v>
      </c>
      <c r="D31" s="29">
        <v>100000</v>
      </c>
      <c r="E31" s="24">
        <v>0</v>
      </c>
      <c r="F31" s="8">
        <f>D31-E31</f>
        <v>100000</v>
      </c>
      <c r="G31" s="11" t="s">
        <v>59</v>
      </c>
      <c r="H31" s="23"/>
      <c r="I31" s="99">
        <f t="shared" si="2"/>
        <v>0</v>
      </c>
      <c r="J31" s="93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</row>
    <row r="32" spans="1:29" s="19" customFormat="1" ht="32.4" x14ac:dyDescent="0.3">
      <c r="A32" s="110"/>
      <c r="B32" s="20" t="s">
        <v>60</v>
      </c>
      <c r="C32" s="1" t="s">
        <v>61</v>
      </c>
      <c r="D32" s="24">
        <v>100000</v>
      </c>
      <c r="E32" s="24">
        <v>100000</v>
      </c>
      <c r="F32" s="8">
        <f t="shared" si="0"/>
        <v>0</v>
      </c>
      <c r="G32" s="30" t="s">
        <v>62</v>
      </c>
      <c r="H32" s="31"/>
      <c r="I32" s="99">
        <f t="shared" si="2"/>
        <v>18500</v>
      </c>
      <c r="J32" s="93">
        <v>900</v>
      </c>
      <c r="K32" s="94">
        <v>13600</v>
      </c>
      <c r="L32" s="94">
        <v>4000</v>
      </c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</row>
    <row r="33" spans="1:29" x14ac:dyDescent="0.3">
      <c r="A33" s="110"/>
      <c r="B33" s="119" t="s">
        <v>63</v>
      </c>
      <c r="C33" s="1" t="s">
        <v>64</v>
      </c>
      <c r="D33" s="7">
        <v>125000</v>
      </c>
      <c r="E33" s="7">
        <v>125000</v>
      </c>
      <c r="F33" s="8"/>
      <c r="G33" s="32" t="s">
        <v>65</v>
      </c>
      <c r="H33" s="33" t="s">
        <v>66</v>
      </c>
      <c r="I33" s="97">
        <f t="shared" si="2"/>
        <v>0</v>
      </c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</row>
    <row r="34" spans="1:29" x14ac:dyDescent="0.3">
      <c r="A34" s="110"/>
      <c r="B34" s="119"/>
      <c r="C34" s="1" t="s">
        <v>67</v>
      </c>
      <c r="D34" s="24">
        <f>1500000/12</f>
        <v>125000</v>
      </c>
      <c r="E34" s="24">
        <f>1500000/12</f>
        <v>125000</v>
      </c>
      <c r="F34" s="8">
        <f>D34-E34</f>
        <v>0</v>
      </c>
      <c r="G34" s="18" t="s">
        <v>68</v>
      </c>
      <c r="H34" s="33" t="s">
        <v>66</v>
      </c>
      <c r="I34" s="97">
        <f>SUM(J34:AC34)</f>
        <v>208200</v>
      </c>
      <c r="J34" s="91">
        <v>208200</v>
      </c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</row>
    <row r="35" spans="1:29" x14ac:dyDescent="0.3">
      <c r="A35" s="110"/>
      <c r="B35" s="119"/>
      <c r="C35" s="1" t="s">
        <v>69</v>
      </c>
      <c r="D35" s="17">
        <v>41666.666666666664</v>
      </c>
      <c r="E35" s="17">
        <v>41666.666666666664</v>
      </c>
      <c r="F35" s="8"/>
      <c r="G35" s="32" t="s">
        <v>70</v>
      </c>
      <c r="H35" s="33" t="s">
        <v>66</v>
      </c>
      <c r="I35" s="97">
        <f t="shared" si="2"/>
        <v>0</v>
      </c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</row>
    <row r="36" spans="1:29" ht="15.75" customHeight="1" x14ac:dyDescent="0.3">
      <c r="A36" s="110" t="s">
        <v>71</v>
      </c>
      <c r="B36" s="121" t="s">
        <v>72</v>
      </c>
      <c r="C36" s="122"/>
      <c r="D36" s="34"/>
      <c r="E36" s="7"/>
      <c r="F36" s="8"/>
      <c r="G36" s="9"/>
      <c r="H36" s="23"/>
      <c r="I36" s="97">
        <f t="shared" si="2"/>
        <v>0</v>
      </c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</row>
    <row r="37" spans="1:29" x14ac:dyDescent="0.3">
      <c r="A37" s="110"/>
      <c r="B37" s="2"/>
      <c r="C37" s="35" t="s">
        <v>73</v>
      </c>
      <c r="D37" s="7">
        <v>2000000</v>
      </c>
      <c r="E37" s="7">
        <v>900000</v>
      </c>
      <c r="F37" s="8"/>
      <c r="G37" s="36"/>
      <c r="H37" s="23"/>
      <c r="I37" s="97">
        <f>SUM(J37:AC37)</f>
        <v>0</v>
      </c>
      <c r="J37" s="91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</row>
    <row r="38" spans="1:29" ht="16.2" customHeight="1" x14ac:dyDescent="0.3">
      <c r="A38" s="110"/>
      <c r="B38" s="123" t="s">
        <v>74</v>
      </c>
      <c r="C38" s="124"/>
      <c r="D38" s="7"/>
      <c r="E38" s="7"/>
      <c r="F38" s="8"/>
      <c r="G38" s="9"/>
      <c r="I38" s="97">
        <f t="shared" si="2"/>
        <v>0</v>
      </c>
      <c r="J38" s="91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</row>
    <row r="39" spans="1:29" x14ac:dyDescent="0.3">
      <c r="A39" s="110"/>
      <c r="B39" s="2"/>
      <c r="C39" s="21" t="s">
        <v>75</v>
      </c>
      <c r="D39" s="26">
        <v>6000000</v>
      </c>
      <c r="E39" s="24">
        <v>5000000</v>
      </c>
      <c r="F39" s="8"/>
      <c r="G39" s="22" t="s">
        <v>76</v>
      </c>
      <c r="I39" s="97">
        <f t="shared" si="2"/>
        <v>5320000</v>
      </c>
      <c r="J39" s="91">
        <v>5000000</v>
      </c>
      <c r="K39" s="92">
        <v>320000</v>
      </c>
      <c r="L39" s="108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</row>
    <row r="40" spans="1:29" ht="48.6" x14ac:dyDescent="0.3">
      <c r="A40" s="110"/>
      <c r="B40" s="2"/>
      <c r="C40" s="21" t="s">
        <v>77</v>
      </c>
      <c r="D40" s="24">
        <v>100000</v>
      </c>
      <c r="E40" s="24">
        <v>100000</v>
      </c>
      <c r="F40" s="8"/>
      <c r="G40" s="18" t="s">
        <v>78</v>
      </c>
      <c r="I40" s="97">
        <f t="shared" si="2"/>
        <v>50391</v>
      </c>
      <c r="J40" s="91">
        <v>50391</v>
      </c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</row>
    <row r="41" spans="1:29" ht="16.2" customHeight="1" x14ac:dyDescent="0.3">
      <c r="A41" s="110"/>
      <c r="B41" s="125" t="s">
        <v>79</v>
      </c>
      <c r="C41" s="126"/>
      <c r="D41" s="34"/>
      <c r="E41" s="24"/>
      <c r="F41" s="8"/>
      <c r="G41" s="9"/>
      <c r="I41" s="97">
        <f t="shared" si="2"/>
        <v>0</v>
      </c>
      <c r="J41" s="91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</row>
    <row r="42" spans="1:29" x14ac:dyDescent="0.3">
      <c r="A42" s="110"/>
      <c r="B42" s="2"/>
      <c r="C42" s="21" t="s">
        <v>80</v>
      </c>
      <c r="D42" s="7">
        <v>0</v>
      </c>
      <c r="E42" s="7">
        <v>3000000</v>
      </c>
      <c r="F42" s="8"/>
      <c r="G42" s="36" t="s">
        <v>209</v>
      </c>
      <c r="I42" s="97">
        <f t="shared" si="2"/>
        <v>0</v>
      </c>
      <c r="J42" s="91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</row>
    <row r="43" spans="1:29" x14ac:dyDescent="0.3">
      <c r="A43" s="110"/>
      <c r="B43" s="2"/>
      <c r="C43" s="37" t="s">
        <v>81</v>
      </c>
      <c r="D43" s="12">
        <v>3000000</v>
      </c>
      <c r="E43" s="7">
        <v>0</v>
      </c>
      <c r="F43" s="8"/>
      <c r="G43" s="9"/>
      <c r="I43" s="97">
        <f t="shared" si="2"/>
        <v>0</v>
      </c>
      <c r="J43" s="91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</row>
    <row r="44" spans="1:29" x14ac:dyDescent="0.3">
      <c r="D44" s="40">
        <f>SUM(D2:D43)</f>
        <v>17185573.979797982</v>
      </c>
      <c r="E44" s="41">
        <f>SUM(E2:E43)</f>
        <v>13444416.666666668</v>
      </c>
    </row>
    <row r="49" spans="3:4" x14ac:dyDescent="0.3">
      <c r="C49" s="44" t="s">
        <v>82</v>
      </c>
      <c r="D49" s="45">
        <f>D39+D30+D7</f>
        <v>7300000</v>
      </c>
    </row>
    <row r="50" spans="3:4" x14ac:dyDescent="0.3">
      <c r="C50" s="44" t="s">
        <v>83</v>
      </c>
      <c r="D50" s="46">
        <f>D44-D49</f>
        <v>9885573.9797979817</v>
      </c>
    </row>
  </sheetData>
  <mergeCells count="15">
    <mergeCell ref="A23:A35"/>
    <mergeCell ref="B23:B29"/>
    <mergeCell ref="B30:B31"/>
    <mergeCell ref="B33:B35"/>
    <mergeCell ref="A36:A43"/>
    <mergeCell ref="B36:C36"/>
    <mergeCell ref="B38:C38"/>
    <mergeCell ref="B41:C41"/>
    <mergeCell ref="B1:C1"/>
    <mergeCell ref="A2:A22"/>
    <mergeCell ref="B2:B7"/>
    <mergeCell ref="B8:B11"/>
    <mergeCell ref="G8:G9"/>
    <mergeCell ref="B12:B17"/>
    <mergeCell ref="B18:B22"/>
  </mergeCells>
  <phoneticPr fontId="4" type="noConversion"/>
  <pageMargins left="0.25" right="0.25" top="0.75" bottom="0.75" header="0.3" footer="0.3"/>
  <pageSetup paperSize="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2383-8029-4EAF-9469-48FCEBD715B2}">
  <sheetPr codeName="工作表2">
    <pageSetUpPr fitToPage="1"/>
  </sheetPr>
  <dimension ref="A1:R59"/>
  <sheetViews>
    <sheetView zoomScale="85" zoomScaleNormal="85" workbookViewId="0">
      <pane ySplit="1" topLeftCell="A2" activePane="bottomLeft" state="frozen"/>
      <selection activeCell="G11" sqref="G11"/>
      <selection pane="bottomLeft" activeCell="C40" sqref="C40"/>
    </sheetView>
  </sheetViews>
  <sheetFormatPr defaultRowHeight="16.2" x14ac:dyDescent="0.3"/>
  <cols>
    <col min="3" max="3" width="34.109375" customWidth="1"/>
    <col min="4" max="17" width="11.77734375" style="61" customWidth="1"/>
    <col min="18" max="18" width="11.77734375" customWidth="1"/>
    <col min="19" max="23" width="10.6640625" bestFit="1" customWidth="1"/>
    <col min="24" max="24" width="13" bestFit="1" customWidth="1"/>
    <col min="25" max="30" width="10.6640625" bestFit="1" customWidth="1"/>
    <col min="31" max="31" width="15.44140625" bestFit="1" customWidth="1"/>
    <col min="32" max="32" width="13" bestFit="1" customWidth="1"/>
  </cols>
  <sheetData>
    <row r="1" spans="1:18" x14ac:dyDescent="0.3">
      <c r="A1" s="1"/>
      <c r="B1" s="110" t="s">
        <v>0</v>
      </c>
      <c r="C1" s="110"/>
      <c r="D1" s="47" t="s">
        <v>84</v>
      </c>
      <c r="E1" s="47" t="s">
        <v>85</v>
      </c>
      <c r="F1" s="47" t="s">
        <v>86</v>
      </c>
      <c r="G1" s="47" t="s">
        <v>87</v>
      </c>
      <c r="H1" s="47" t="s">
        <v>88</v>
      </c>
      <c r="I1" s="47" t="s">
        <v>89</v>
      </c>
      <c r="J1" s="47" t="s">
        <v>90</v>
      </c>
      <c r="K1" s="48" t="s">
        <v>91</v>
      </c>
      <c r="L1" s="48" t="s">
        <v>92</v>
      </c>
      <c r="M1" s="47" t="s">
        <v>93</v>
      </c>
      <c r="N1" s="47" t="s">
        <v>94</v>
      </c>
      <c r="O1" s="47" t="s">
        <v>95</v>
      </c>
      <c r="P1" s="47" t="s">
        <v>96</v>
      </c>
      <c r="Q1" s="47" t="s">
        <v>97</v>
      </c>
      <c r="R1" s="49"/>
    </row>
    <row r="2" spans="1:18" x14ac:dyDescent="0.3">
      <c r="A2" s="117" t="s">
        <v>98</v>
      </c>
      <c r="B2" s="117" t="s">
        <v>99</v>
      </c>
      <c r="C2" s="1" t="s">
        <v>100</v>
      </c>
      <c r="D2" s="50">
        <f>100000/7</f>
        <v>14285.714285714286</v>
      </c>
      <c r="E2" s="50">
        <f t="shared" ref="E2:J4" si="0">100000/7</f>
        <v>14285.714285714286</v>
      </c>
      <c r="F2" s="50">
        <f t="shared" si="0"/>
        <v>14285.714285714286</v>
      </c>
      <c r="G2" s="50">
        <f t="shared" si="0"/>
        <v>14285.714285714286</v>
      </c>
      <c r="H2" s="50">
        <f t="shared" si="0"/>
        <v>14285.714285714286</v>
      </c>
      <c r="I2" s="50">
        <f t="shared" si="0"/>
        <v>14285.714285714286</v>
      </c>
      <c r="J2" s="50">
        <f t="shared" si="0"/>
        <v>14285.714285714286</v>
      </c>
      <c r="K2" s="50">
        <v>0</v>
      </c>
      <c r="L2" s="50">
        <v>0</v>
      </c>
      <c r="M2" s="51">
        <v>0</v>
      </c>
      <c r="N2" s="51">
        <v>0</v>
      </c>
      <c r="O2" s="51">
        <v>0</v>
      </c>
      <c r="P2" s="51">
        <v>0</v>
      </c>
      <c r="Q2" s="51">
        <f>SUM(D2:P2)</f>
        <v>100000.00000000001</v>
      </c>
      <c r="R2" s="52"/>
    </row>
    <row r="3" spans="1:18" x14ac:dyDescent="0.3">
      <c r="A3" s="118"/>
      <c r="B3" s="118"/>
      <c r="C3" s="1"/>
      <c r="D3" s="84"/>
      <c r="E3" s="84"/>
      <c r="F3" s="84"/>
      <c r="G3" s="84"/>
      <c r="H3" s="84"/>
      <c r="I3" s="84"/>
      <c r="J3" s="84"/>
      <c r="K3" s="84"/>
      <c r="L3" s="84"/>
      <c r="M3" s="85"/>
      <c r="N3" s="85"/>
      <c r="O3" s="85"/>
      <c r="P3" s="85"/>
      <c r="Q3" s="86">
        <f>SUM(D3:P3)</f>
        <v>0</v>
      </c>
      <c r="R3" s="52"/>
    </row>
    <row r="4" spans="1:18" x14ac:dyDescent="0.3">
      <c r="A4" s="118"/>
      <c r="B4" s="118"/>
      <c r="C4" s="1" t="s">
        <v>101</v>
      </c>
      <c r="D4" s="51">
        <f>100000/7</f>
        <v>14285.714285714286</v>
      </c>
      <c r="E4" s="51">
        <f t="shared" si="0"/>
        <v>14285.714285714286</v>
      </c>
      <c r="F4" s="51">
        <f t="shared" si="0"/>
        <v>14285.714285714286</v>
      </c>
      <c r="G4" s="51">
        <f t="shared" si="0"/>
        <v>14285.714285714286</v>
      </c>
      <c r="H4" s="51">
        <f t="shared" si="0"/>
        <v>14285.714285714286</v>
      </c>
      <c r="I4" s="51">
        <f t="shared" si="0"/>
        <v>14285.714285714286</v>
      </c>
      <c r="J4" s="51">
        <f t="shared" si="0"/>
        <v>14285.714285714286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f t="shared" ref="Q4:Q24" si="1">SUM(D4:N4)</f>
        <v>100000.00000000001</v>
      </c>
      <c r="R4" s="52"/>
    </row>
    <row r="5" spans="1:18" x14ac:dyDescent="0.3">
      <c r="A5" s="118"/>
      <c r="B5" s="127"/>
      <c r="C5" s="1"/>
      <c r="D5" s="84"/>
      <c r="E5" s="84"/>
      <c r="F5" s="84"/>
      <c r="G5" s="84"/>
      <c r="H5" s="84"/>
      <c r="I5" s="84"/>
      <c r="J5" s="84"/>
      <c r="K5" s="84"/>
      <c r="L5" s="84"/>
      <c r="M5" s="85"/>
      <c r="N5" s="85"/>
      <c r="O5" s="85"/>
      <c r="P5" s="85"/>
      <c r="Q5" s="86">
        <f>SUM(D5:P5)</f>
        <v>0</v>
      </c>
      <c r="R5" s="52"/>
    </row>
    <row r="6" spans="1:18" x14ac:dyDescent="0.3">
      <c r="A6" s="118"/>
      <c r="B6" s="117" t="s">
        <v>102</v>
      </c>
      <c r="C6" s="1" t="s">
        <v>103</v>
      </c>
      <c r="D6" s="7">
        <f>120000/8</f>
        <v>15000</v>
      </c>
      <c r="E6" s="7">
        <f t="shared" ref="E6:J6" si="2">120000/8</f>
        <v>15000</v>
      </c>
      <c r="F6" s="7">
        <f t="shared" si="2"/>
        <v>15000</v>
      </c>
      <c r="G6" s="7">
        <f t="shared" si="2"/>
        <v>15000</v>
      </c>
      <c r="H6" s="7">
        <f t="shared" si="2"/>
        <v>15000</v>
      </c>
      <c r="I6" s="7">
        <f t="shared" si="2"/>
        <v>15000</v>
      </c>
      <c r="J6" s="7">
        <f t="shared" si="2"/>
        <v>15000</v>
      </c>
      <c r="K6" s="7">
        <v>0</v>
      </c>
      <c r="L6" s="7">
        <v>0</v>
      </c>
      <c r="M6" s="51">
        <v>0</v>
      </c>
      <c r="N6" s="51">
        <v>0</v>
      </c>
      <c r="O6" s="51">
        <v>0</v>
      </c>
      <c r="P6" s="51">
        <v>0</v>
      </c>
      <c r="Q6" s="51">
        <f>SUM(D6:P6)</f>
        <v>105000</v>
      </c>
      <c r="R6" s="52"/>
    </row>
    <row r="7" spans="1:18" x14ac:dyDescent="0.3">
      <c r="A7" s="118"/>
      <c r="B7" s="118"/>
      <c r="C7" s="1"/>
      <c r="D7" s="84">
        <v>6500</v>
      </c>
      <c r="E7" s="84">
        <v>6500</v>
      </c>
      <c r="F7" s="84">
        <v>6750</v>
      </c>
      <c r="G7" s="84">
        <v>6500</v>
      </c>
      <c r="H7" s="84">
        <v>6750</v>
      </c>
      <c r="I7" s="84">
        <v>6750</v>
      </c>
      <c r="J7" s="84">
        <v>6750</v>
      </c>
      <c r="K7" s="84">
        <v>6750</v>
      </c>
      <c r="L7" s="84">
        <v>6750</v>
      </c>
      <c r="M7" s="85"/>
      <c r="N7" s="85"/>
      <c r="O7" s="85"/>
      <c r="P7" s="85"/>
      <c r="Q7" s="86">
        <f>SUM(D7:P7)</f>
        <v>60000</v>
      </c>
      <c r="R7" s="52"/>
    </row>
    <row r="8" spans="1:18" x14ac:dyDescent="0.3">
      <c r="A8" s="118"/>
      <c r="B8" s="118"/>
      <c r="C8" s="1" t="s">
        <v>104</v>
      </c>
      <c r="D8" s="7">
        <f>1500000/11</f>
        <v>136363.63636363635</v>
      </c>
      <c r="E8" s="7">
        <f t="shared" ref="E8:L8" si="3">1500000/11</f>
        <v>136363.63636363635</v>
      </c>
      <c r="F8" s="7">
        <f t="shared" si="3"/>
        <v>136363.63636363635</v>
      </c>
      <c r="G8" s="7">
        <f t="shared" si="3"/>
        <v>136363.63636363635</v>
      </c>
      <c r="H8" s="7">
        <f t="shared" si="3"/>
        <v>136363.63636363635</v>
      </c>
      <c r="I8" s="7">
        <f t="shared" si="3"/>
        <v>136363.63636363635</v>
      </c>
      <c r="J8" s="7">
        <f t="shared" si="3"/>
        <v>136363.63636363635</v>
      </c>
      <c r="K8" s="7">
        <f t="shared" si="3"/>
        <v>136363.63636363635</v>
      </c>
      <c r="L8" s="7">
        <f t="shared" si="3"/>
        <v>136363.63636363635</v>
      </c>
      <c r="M8" s="7">
        <v>88500</v>
      </c>
      <c r="N8" s="7">
        <v>5250</v>
      </c>
      <c r="O8" s="7">
        <v>0</v>
      </c>
      <c r="P8" s="7">
        <v>0</v>
      </c>
      <c r="Q8" s="7">
        <f>SUM(D8:N8)</f>
        <v>1321022.7272727271</v>
      </c>
      <c r="R8" s="52"/>
    </row>
    <row r="9" spans="1:18" x14ac:dyDescent="0.3">
      <c r="A9" s="118"/>
      <c r="B9" s="118"/>
      <c r="C9" s="1"/>
      <c r="D9" s="84"/>
      <c r="E9" s="84"/>
      <c r="F9" s="84"/>
      <c r="G9" s="84"/>
      <c r="H9" s="84"/>
      <c r="I9" s="84"/>
      <c r="J9" s="84"/>
      <c r="K9" s="84"/>
      <c r="L9" s="84"/>
      <c r="M9" s="85"/>
      <c r="N9" s="85"/>
      <c r="O9" s="85"/>
      <c r="P9" s="85"/>
      <c r="Q9" s="86">
        <f t="shared" ref="Q9:Q17" si="4">SUM(D9:P9)</f>
        <v>0</v>
      </c>
      <c r="R9" s="52"/>
    </row>
    <row r="10" spans="1:18" x14ac:dyDescent="0.3">
      <c r="A10" s="118"/>
      <c r="B10" s="118"/>
      <c r="C10" s="1" t="s">
        <v>105</v>
      </c>
      <c r="D10" s="53">
        <v>21433</v>
      </c>
      <c r="E10" s="53">
        <v>23313</v>
      </c>
      <c r="F10" s="53">
        <v>22185</v>
      </c>
      <c r="G10" s="53">
        <v>23690</v>
      </c>
      <c r="H10" s="53">
        <v>19930</v>
      </c>
      <c r="I10" s="53">
        <v>21057</v>
      </c>
      <c r="J10" s="53">
        <v>25193</v>
      </c>
      <c r="K10" s="53">
        <v>17297</v>
      </c>
      <c r="L10" s="53">
        <v>18049</v>
      </c>
      <c r="M10" s="54">
        <v>20681</v>
      </c>
      <c r="N10" s="55">
        <v>86482</v>
      </c>
      <c r="O10" s="54">
        <v>1128</v>
      </c>
      <c r="P10" s="54">
        <v>13160</v>
      </c>
      <c r="Q10" s="51">
        <f t="shared" si="4"/>
        <v>313598</v>
      </c>
      <c r="R10" s="52"/>
    </row>
    <row r="11" spans="1:18" x14ac:dyDescent="0.3">
      <c r="A11" s="118"/>
      <c r="B11" s="118"/>
      <c r="C11" s="1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85"/>
      <c r="O11" s="85"/>
      <c r="P11" s="85"/>
      <c r="Q11" s="86">
        <f t="shared" si="4"/>
        <v>0</v>
      </c>
      <c r="R11" s="52"/>
    </row>
    <row r="12" spans="1:18" x14ac:dyDescent="0.3">
      <c r="A12" s="118"/>
      <c r="B12" s="118"/>
      <c r="C12" s="1" t="s">
        <v>106</v>
      </c>
      <c r="D12" s="50">
        <f>393750/10</f>
        <v>39375</v>
      </c>
      <c r="E12" s="50">
        <f t="shared" ref="E12:L12" si="5">393750/10</f>
        <v>39375</v>
      </c>
      <c r="F12" s="50">
        <f t="shared" si="5"/>
        <v>39375</v>
      </c>
      <c r="G12" s="50">
        <f t="shared" si="5"/>
        <v>39375</v>
      </c>
      <c r="H12" s="50">
        <f t="shared" si="5"/>
        <v>39375</v>
      </c>
      <c r="I12" s="50">
        <f t="shared" si="5"/>
        <v>39375</v>
      </c>
      <c r="J12" s="50">
        <f t="shared" si="5"/>
        <v>39375</v>
      </c>
      <c r="K12" s="50">
        <f t="shared" si="5"/>
        <v>39375</v>
      </c>
      <c r="L12" s="50">
        <f t="shared" si="5"/>
        <v>39375</v>
      </c>
      <c r="M12" s="50">
        <v>0</v>
      </c>
      <c r="N12" s="55">
        <v>0</v>
      </c>
      <c r="O12" s="55">
        <v>0</v>
      </c>
      <c r="P12" s="55">
        <v>0</v>
      </c>
      <c r="Q12" s="51">
        <f t="shared" si="4"/>
        <v>354375</v>
      </c>
      <c r="R12" s="51"/>
    </row>
    <row r="13" spans="1:18" x14ac:dyDescent="0.3">
      <c r="A13" s="118"/>
      <c r="B13" s="118"/>
      <c r="C13" s="1"/>
      <c r="D13" s="84"/>
      <c r="E13" s="84"/>
      <c r="F13" s="84"/>
      <c r="G13" s="84"/>
      <c r="H13" s="84"/>
      <c r="I13" s="84"/>
      <c r="J13" s="84"/>
      <c r="K13" s="84"/>
      <c r="L13" s="84"/>
      <c r="M13" s="85"/>
      <c r="N13" s="85"/>
      <c r="O13" s="85"/>
      <c r="P13" s="85"/>
      <c r="Q13" s="86">
        <f t="shared" si="4"/>
        <v>0</v>
      </c>
      <c r="R13" s="51"/>
    </row>
    <row r="14" spans="1:18" ht="18" customHeight="1" x14ac:dyDescent="0.3">
      <c r="A14" s="118"/>
      <c r="B14" s="118"/>
      <c r="C14" s="1" t="s">
        <v>107</v>
      </c>
      <c r="D14" s="50">
        <f>48000/4</f>
        <v>12000</v>
      </c>
      <c r="E14" s="50">
        <f>48000/4</f>
        <v>12000</v>
      </c>
      <c r="F14" s="50">
        <v>0</v>
      </c>
      <c r="G14" s="50">
        <v>0</v>
      </c>
      <c r="H14" s="50">
        <v>0</v>
      </c>
      <c r="I14" s="50">
        <f>48000/4</f>
        <v>12000</v>
      </c>
      <c r="J14" s="50">
        <v>0</v>
      </c>
      <c r="K14" s="50">
        <f>48000/4</f>
        <v>12000</v>
      </c>
      <c r="L14" s="50">
        <v>0</v>
      </c>
      <c r="M14" s="50">
        <v>0</v>
      </c>
      <c r="N14" s="55">
        <v>0</v>
      </c>
      <c r="O14" s="55">
        <v>0</v>
      </c>
      <c r="P14" s="55">
        <v>0</v>
      </c>
      <c r="Q14" s="51">
        <f t="shared" si="4"/>
        <v>48000</v>
      </c>
      <c r="R14" s="52"/>
    </row>
    <row r="15" spans="1:18" ht="18" customHeight="1" x14ac:dyDescent="0.3">
      <c r="A15" s="118"/>
      <c r="B15" s="118"/>
      <c r="C15" s="1"/>
      <c r="D15" s="84"/>
      <c r="E15" s="84"/>
      <c r="F15" s="84"/>
      <c r="G15" s="84"/>
      <c r="H15" s="84"/>
      <c r="I15" s="84"/>
      <c r="J15" s="84"/>
      <c r="K15" s="84"/>
      <c r="L15" s="84"/>
      <c r="M15" s="85"/>
      <c r="N15" s="85"/>
      <c r="O15" s="85"/>
      <c r="P15" s="85"/>
      <c r="Q15" s="86">
        <f t="shared" si="4"/>
        <v>0</v>
      </c>
      <c r="R15" s="52"/>
    </row>
    <row r="16" spans="1:18" ht="18" customHeight="1" x14ac:dyDescent="0.3">
      <c r="A16" s="118"/>
      <c r="B16" s="118"/>
      <c r="C16" s="10" t="s">
        <v>108</v>
      </c>
      <c r="D16" s="51">
        <f>1000000/11</f>
        <v>90909.090909090912</v>
      </c>
      <c r="E16" s="51">
        <f t="shared" ref="E16:J16" si="6">1000000/11</f>
        <v>90909.090909090912</v>
      </c>
      <c r="F16" s="51">
        <f t="shared" si="6"/>
        <v>90909.090909090912</v>
      </c>
      <c r="G16" s="51">
        <f t="shared" si="6"/>
        <v>90909.090909090912</v>
      </c>
      <c r="H16" s="51">
        <f t="shared" si="6"/>
        <v>90909.090909090912</v>
      </c>
      <c r="I16" s="51">
        <f t="shared" si="6"/>
        <v>90909.090909090912</v>
      </c>
      <c r="J16" s="51">
        <f t="shared" si="6"/>
        <v>90909.090909090912</v>
      </c>
      <c r="K16" s="51">
        <v>0</v>
      </c>
      <c r="L16" s="51">
        <v>0</v>
      </c>
      <c r="M16" s="51">
        <f t="shared" ref="M16:P16" si="7">1000000/11</f>
        <v>90909.090909090912</v>
      </c>
      <c r="N16" s="51">
        <f t="shared" si="7"/>
        <v>90909.090909090912</v>
      </c>
      <c r="O16" s="51">
        <f t="shared" si="7"/>
        <v>90909.090909090912</v>
      </c>
      <c r="P16" s="51">
        <f t="shared" si="7"/>
        <v>90909.090909090912</v>
      </c>
      <c r="Q16" s="51">
        <f t="shared" si="4"/>
        <v>1000000.0000000002</v>
      </c>
      <c r="R16" s="52"/>
    </row>
    <row r="17" spans="1:18" ht="18" customHeight="1" x14ac:dyDescent="0.3">
      <c r="A17" s="118"/>
      <c r="B17" s="118"/>
      <c r="C17" s="10"/>
      <c r="D17" s="84"/>
      <c r="E17" s="84"/>
      <c r="F17" s="84"/>
      <c r="G17" s="84"/>
      <c r="H17" s="84"/>
      <c r="I17" s="84"/>
      <c r="J17" s="84"/>
      <c r="K17" s="84"/>
      <c r="L17" s="84"/>
      <c r="M17" s="85"/>
      <c r="N17" s="85"/>
      <c r="O17" s="85"/>
      <c r="P17" s="85"/>
      <c r="Q17" s="86">
        <f t="shared" si="4"/>
        <v>0</v>
      </c>
      <c r="R17" s="52"/>
    </row>
    <row r="18" spans="1:18" ht="18" customHeight="1" x14ac:dyDescent="0.3">
      <c r="A18" s="118"/>
      <c r="B18" s="118"/>
      <c r="C18" s="1" t="s">
        <v>109</v>
      </c>
      <c r="D18" s="50">
        <f>800000/9</f>
        <v>88888.888888888891</v>
      </c>
      <c r="E18" s="50">
        <f t="shared" ref="E18:J18" si="8">800000/9</f>
        <v>88888.888888888891</v>
      </c>
      <c r="F18" s="50">
        <f t="shared" si="8"/>
        <v>88888.888888888891</v>
      </c>
      <c r="G18" s="50">
        <f t="shared" si="8"/>
        <v>88888.888888888891</v>
      </c>
      <c r="H18" s="50">
        <f t="shared" si="8"/>
        <v>88888.888888888891</v>
      </c>
      <c r="I18" s="50">
        <f t="shared" si="8"/>
        <v>88888.888888888891</v>
      </c>
      <c r="J18" s="50">
        <f t="shared" si="8"/>
        <v>88888.888888888891</v>
      </c>
      <c r="K18" s="50">
        <f t="shared" ref="K18:L18" si="9">X18/11</f>
        <v>0</v>
      </c>
      <c r="L18" s="50">
        <f t="shared" si="9"/>
        <v>0</v>
      </c>
      <c r="M18" s="50">
        <f>800000/9</f>
        <v>88888.888888888891</v>
      </c>
      <c r="N18" s="55">
        <v>100000</v>
      </c>
      <c r="O18" s="55">
        <v>0</v>
      </c>
      <c r="P18" s="55">
        <v>0</v>
      </c>
      <c r="Q18" s="51">
        <f>SUM(D18:M18)</f>
        <v>711111.11111111112</v>
      </c>
      <c r="R18" s="52"/>
    </row>
    <row r="19" spans="1:18" ht="18" customHeight="1" x14ac:dyDescent="0.3">
      <c r="A19" s="118"/>
      <c r="B19" s="127"/>
      <c r="C19" s="1"/>
      <c r="D19" s="84"/>
      <c r="E19" s="84"/>
      <c r="F19" s="84"/>
      <c r="G19" s="84"/>
      <c r="H19" s="84"/>
      <c r="I19" s="84"/>
      <c r="J19" s="84"/>
      <c r="K19" s="84"/>
      <c r="L19" s="84"/>
      <c r="M19" s="85"/>
      <c r="N19" s="85"/>
      <c r="O19" s="85"/>
      <c r="P19" s="85"/>
      <c r="Q19" s="86">
        <f>SUM(D19:P19)</f>
        <v>0</v>
      </c>
      <c r="R19" s="52"/>
    </row>
    <row r="20" spans="1:18" x14ac:dyDescent="0.3">
      <c r="A20" s="118"/>
      <c r="B20" s="112" t="s">
        <v>110</v>
      </c>
      <c r="C20" s="1" t="s">
        <v>111</v>
      </c>
      <c r="D20" s="7">
        <f>3000000/12</f>
        <v>250000</v>
      </c>
      <c r="E20" s="7">
        <f t="shared" ref="E20:N20" si="10">3000000/12</f>
        <v>250000</v>
      </c>
      <c r="F20" s="7">
        <f t="shared" si="10"/>
        <v>250000</v>
      </c>
      <c r="G20" s="7">
        <f t="shared" si="10"/>
        <v>250000</v>
      </c>
      <c r="H20" s="7">
        <f t="shared" si="10"/>
        <v>250000</v>
      </c>
      <c r="I20" s="7">
        <f t="shared" si="10"/>
        <v>250000</v>
      </c>
      <c r="J20" s="7">
        <f t="shared" si="10"/>
        <v>250000</v>
      </c>
      <c r="K20" s="7">
        <v>0</v>
      </c>
      <c r="L20" s="7">
        <v>0</v>
      </c>
      <c r="M20" s="7">
        <f t="shared" si="10"/>
        <v>250000</v>
      </c>
      <c r="N20" s="7">
        <f t="shared" si="10"/>
        <v>250000</v>
      </c>
      <c r="O20" s="7">
        <v>0</v>
      </c>
      <c r="P20" s="7">
        <v>0</v>
      </c>
      <c r="Q20" s="51">
        <f t="shared" si="1"/>
        <v>2250000</v>
      </c>
      <c r="R20" s="52"/>
    </row>
    <row r="21" spans="1:18" x14ac:dyDescent="0.3">
      <c r="A21" s="118"/>
      <c r="B21" s="114"/>
      <c r="C21" s="1"/>
      <c r="D21" s="84"/>
      <c r="E21" s="84"/>
      <c r="F21" s="84"/>
      <c r="G21" s="84"/>
      <c r="H21" s="84"/>
      <c r="I21" s="84"/>
      <c r="J21" s="84"/>
      <c r="K21" s="84"/>
      <c r="L21" s="84"/>
      <c r="M21" s="85"/>
      <c r="N21" s="85"/>
      <c r="O21" s="85"/>
      <c r="P21" s="85"/>
      <c r="Q21" s="86">
        <f>SUM(D21:P21)</f>
        <v>0</v>
      </c>
      <c r="R21" s="52"/>
    </row>
    <row r="22" spans="1:18" ht="32.4" x14ac:dyDescent="0.3">
      <c r="A22" s="118"/>
      <c r="B22" s="117" t="s">
        <v>112</v>
      </c>
      <c r="C22" s="1" t="s">
        <v>113</v>
      </c>
      <c r="D22" s="50">
        <f>(3600*24)</f>
        <v>86400</v>
      </c>
      <c r="E22" s="50">
        <f>(3600*24)+(5*1300)</f>
        <v>92900</v>
      </c>
      <c r="F22" s="50">
        <f>(21*3520)</f>
        <v>73920</v>
      </c>
      <c r="G22" s="50">
        <f>(23*3600)+(1300*1)</f>
        <v>84100</v>
      </c>
      <c r="H22" s="50">
        <f>(3600*2)+(14*1300)</f>
        <v>25400</v>
      </c>
      <c r="I22" s="50">
        <f>(3600*15)</f>
        <v>54000</v>
      </c>
      <c r="J22" s="50">
        <f>(3600*2)+(1300*25)</f>
        <v>39700</v>
      </c>
      <c r="K22" s="50">
        <f>(3600*16)</f>
        <v>57600</v>
      </c>
      <c r="L22" s="50">
        <f>(1300*15)</f>
        <v>19500</v>
      </c>
      <c r="M22" s="50">
        <f>(3600*12)+(1300*1)</f>
        <v>44500</v>
      </c>
      <c r="N22" s="55">
        <f>(3600*100)</f>
        <v>360000</v>
      </c>
      <c r="O22" s="7">
        <v>3600</v>
      </c>
      <c r="P22" s="7">
        <v>0</v>
      </c>
      <c r="Q22" s="51">
        <f t="shared" si="1"/>
        <v>938020</v>
      </c>
      <c r="R22" s="52"/>
    </row>
    <row r="23" spans="1:18" x14ac:dyDescent="0.3">
      <c r="A23" s="118"/>
      <c r="B23" s="118"/>
      <c r="C23" s="1"/>
      <c r="D23" s="84">
        <v>90925</v>
      </c>
      <c r="E23" s="84">
        <v>79615</v>
      </c>
      <c r="F23" s="84">
        <v>80014</v>
      </c>
      <c r="G23" s="84">
        <v>85026</v>
      </c>
      <c r="H23" s="84">
        <v>27899</v>
      </c>
      <c r="I23" s="84">
        <v>58192</v>
      </c>
      <c r="J23" s="103">
        <f>36600+43024</f>
        <v>79624</v>
      </c>
      <c r="K23" s="84">
        <v>42864</v>
      </c>
      <c r="L23" s="103">
        <f>34700+31536</f>
        <v>66236</v>
      </c>
      <c r="M23" s="85">
        <v>60543</v>
      </c>
      <c r="N23" s="85"/>
      <c r="O23" s="85">
        <v>10911</v>
      </c>
      <c r="P23" s="85"/>
      <c r="Q23" s="86">
        <f>SUM(D23:P23)</f>
        <v>681849</v>
      </c>
      <c r="R23" s="52"/>
    </row>
    <row r="24" spans="1:18" ht="32.4" x14ac:dyDescent="0.3">
      <c r="A24" s="118"/>
      <c r="B24" s="118"/>
      <c r="C24" s="16" t="s">
        <v>114</v>
      </c>
      <c r="D24" s="51">
        <f>(180*27)*12</f>
        <v>58320</v>
      </c>
      <c r="E24" s="51">
        <f>(180*28)*12</f>
        <v>60480</v>
      </c>
      <c r="F24" s="51">
        <f>(180*31)*12</f>
        <v>66960</v>
      </c>
      <c r="G24" s="51">
        <f>(180*30)*12</f>
        <v>64800</v>
      </c>
      <c r="H24" s="51">
        <f>(180*30)*12</f>
        <v>64800</v>
      </c>
      <c r="I24" s="51">
        <f>(180*25)*12</f>
        <v>54000</v>
      </c>
      <c r="J24" s="51">
        <f>(180*30)*12</f>
        <v>64800</v>
      </c>
      <c r="K24" s="51">
        <f>(180*22)*12</f>
        <v>47520</v>
      </c>
      <c r="L24" s="51">
        <f>(180*20)*12</f>
        <v>43200</v>
      </c>
      <c r="M24" s="51">
        <f>(180*22)*12</f>
        <v>47520</v>
      </c>
      <c r="N24" s="51">
        <f>(180*100)*12</f>
        <v>216000</v>
      </c>
      <c r="O24" s="7">
        <v>0</v>
      </c>
      <c r="P24" s="7">
        <v>0</v>
      </c>
      <c r="Q24" s="51">
        <f t="shared" si="1"/>
        <v>788400</v>
      </c>
      <c r="R24" s="52"/>
    </row>
    <row r="25" spans="1:18" x14ac:dyDescent="0.3">
      <c r="A25" s="118"/>
      <c r="B25" s="118"/>
      <c r="C25" s="16"/>
      <c r="D25" s="84"/>
      <c r="E25" s="84"/>
      <c r="F25" s="84"/>
      <c r="G25" s="84"/>
      <c r="H25" s="84"/>
      <c r="I25" s="84"/>
      <c r="J25" s="84"/>
      <c r="K25" s="84"/>
      <c r="L25" s="84"/>
      <c r="M25" s="85"/>
      <c r="N25" s="85"/>
      <c r="O25" s="85"/>
      <c r="P25" s="85"/>
      <c r="Q25" s="86">
        <f>SUM(D25:P25)</f>
        <v>0</v>
      </c>
      <c r="R25" s="52"/>
    </row>
    <row r="26" spans="1:18" x14ac:dyDescent="0.3">
      <c r="A26" s="118"/>
      <c r="B26" s="118"/>
      <c r="C26" s="16" t="s">
        <v>115</v>
      </c>
      <c r="D26" s="51">
        <f>(Q26/10)</f>
        <v>30525</v>
      </c>
      <c r="E26" s="51">
        <f>(Q26/10)</f>
        <v>30525</v>
      </c>
      <c r="F26" s="51">
        <f>(Q26/10)</f>
        <v>30525</v>
      </c>
      <c r="G26" s="51">
        <f>(Q26/10)</f>
        <v>30525</v>
      </c>
      <c r="H26" s="51">
        <f>(Q26/10)</f>
        <v>30525</v>
      </c>
      <c r="I26" s="51">
        <f>(Q26/10)</f>
        <v>30525</v>
      </c>
      <c r="J26" s="51">
        <f>(Q26/10)</f>
        <v>30525</v>
      </c>
      <c r="K26" s="51">
        <f>(Q26/10)</f>
        <v>30525</v>
      </c>
      <c r="L26" s="51">
        <f>(Q26/10)</f>
        <v>30525</v>
      </c>
      <c r="M26" s="51">
        <v>0</v>
      </c>
      <c r="N26" s="56">
        <v>0</v>
      </c>
      <c r="O26" s="7">
        <v>0</v>
      </c>
      <c r="P26" s="7">
        <v>0</v>
      </c>
      <c r="Q26" s="51">
        <v>305250</v>
      </c>
      <c r="R26" s="52"/>
    </row>
    <row r="27" spans="1:18" x14ac:dyDescent="0.3">
      <c r="A27" s="127"/>
      <c r="B27" s="127"/>
      <c r="C27" s="102" t="s">
        <v>213</v>
      </c>
      <c r="D27" s="84">
        <v>36554</v>
      </c>
      <c r="E27" s="84">
        <v>36554</v>
      </c>
      <c r="F27" s="84">
        <v>36554</v>
      </c>
      <c r="G27" s="84">
        <v>36554</v>
      </c>
      <c r="H27" s="84">
        <v>36554</v>
      </c>
      <c r="I27" s="84">
        <v>36554</v>
      </c>
      <c r="J27" s="84">
        <v>36554</v>
      </c>
      <c r="K27" s="84">
        <v>36554</v>
      </c>
      <c r="L27" s="84">
        <v>36554</v>
      </c>
      <c r="M27" s="85">
        <v>36554</v>
      </c>
      <c r="N27" s="85">
        <v>36554</v>
      </c>
      <c r="O27" s="85">
        <v>36553</v>
      </c>
      <c r="P27" s="85">
        <v>36553</v>
      </c>
      <c r="Q27" s="86">
        <f>SUM(D27:P27)</f>
        <v>475200</v>
      </c>
      <c r="R27" s="52"/>
    </row>
    <row r="28" spans="1:18" x14ac:dyDescent="0.3">
      <c r="A28" s="117" t="s">
        <v>116</v>
      </c>
      <c r="B28" s="132" t="s">
        <v>44</v>
      </c>
      <c r="C28" s="21" t="s">
        <v>117</v>
      </c>
      <c r="D28" s="51">
        <f t="shared" ref="D28:M28" si="11">1500*27</f>
        <v>40500</v>
      </c>
      <c r="E28" s="51">
        <f t="shared" si="11"/>
        <v>40500</v>
      </c>
      <c r="F28" s="51">
        <f t="shared" si="11"/>
        <v>40500</v>
      </c>
      <c r="G28" s="51">
        <f t="shared" si="11"/>
        <v>40500</v>
      </c>
      <c r="H28" s="51">
        <f t="shared" si="11"/>
        <v>40500</v>
      </c>
      <c r="I28" s="51">
        <f t="shared" si="11"/>
        <v>40500</v>
      </c>
      <c r="J28" s="51">
        <f t="shared" si="11"/>
        <v>40500</v>
      </c>
      <c r="K28" s="51">
        <f t="shared" si="11"/>
        <v>40500</v>
      </c>
      <c r="L28" s="51">
        <f t="shared" si="11"/>
        <v>40500</v>
      </c>
      <c r="M28" s="51">
        <f t="shared" si="11"/>
        <v>40500</v>
      </c>
      <c r="N28" s="56">
        <f>1500*100</f>
        <v>150000</v>
      </c>
      <c r="O28" s="7">
        <v>0</v>
      </c>
      <c r="P28" s="7">
        <v>0</v>
      </c>
      <c r="Q28" s="51">
        <f t="shared" ref="Q28:Q50" si="12">SUM(D28:P28)</f>
        <v>555000</v>
      </c>
      <c r="R28" s="52"/>
    </row>
    <row r="29" spans="1:18" x14ac:dyDescent="0.3">
      <c r="A29" s="118"/>
      <c r="B29" s="120"/>
      <c r="C29" s="21"/>
      <c r="D29" s="84">
        <v>15054</v>
      </c>
      <c r="E29" s="84">
        <v>15612</v>
      </c>
      <c r="F29" s="84">
        <v>17842</v>
      </c>
      <c r="G29" s="84">
        <v>16727</v>
      </c>
      <c r="H29" s="84">
        <v>17284</v>
      </c>
      <c r="I29" s="84">
        <v>14497</v>
      </c>
      <c r="J29" s="84">
        <v>12824</v>
      </c>
      <c r="K29" s="84">
        <v>12266</v>
      </c>
      <c r="L29" s="84">
        <v>10594</v>
      </c>
      <c r="M29" s="85">
        <v>13381</v>
      </c>
      <c r="N29" s="85">
        <v>54641</v>
      </c>
      <c r="O29" s="85"/>
      <c r="P29" s="85"/>
      <c r="Q29" s="86">
        <f>SUM(D29:P29)</f>
        <v>200722</v>
      </c>
      <c r="R29" s="52"/>
    </row>
    <row r="30" spans="1:18" x14ac:dyDescent="0.3">
      <c r="A30" s="118"/>
      <c r="B30" s="120"/>
      <c r="C30" s="1" t="s">
        <v>50</v>
      </c>
      <c r="D30" s="51">
        <f>1000000/12</f>
        <v>83333.333333333328</v>
      </c>
      <c r="E30" s="51">
        <f t="shared" ref="E30:N32" si="13">1000000/12</f>
        <v>83333.333333333328</v>
      </c>
      <c r="F30" s="51">
        <f t="shared" si="13"/>
        <v>83333.333333333328</v>
      </c>
      <c r="G30" s="51">
        <f t="shared" si="13"/>
        <v>83333.333333333328</v>
      </c>
      <c r="H30" s="51">
        <f t="shared" si="13"/>
        <v>83333.333333333328</v>
      </c>
      <c r="I30" s="51">
        <f t="shared" si="13"/>
        <v>83333.333333333328</v>
      </c>
      <c r="J30" s="51">
        <f t="shared" si="13"/>
        <v>83333.333333333328</v>
      </c>
      <c r="K30" s="51">
        <f t="shared" si="13"/>
        <v>83333.333333333328</v>
      </c>
      <c r="L30" s="51">
        <f t="shared" si="13"/>
        <v>83333.333333333328</v>
      </c>
      <c r="M30" s="51">
        <f t="shared" si="13"/>
        <v>83333.333333333328</v>
      </c>
      <c r="N30" s="56">
        <f t="shared" si="13"/>
        <v>83333.333333333328</v>
      </c>
      <c r="O30" s="7">
        <v>0</v>
      </c>
      <c r="P30" s="7">
        <v>0</v>
      </c>
      <c r="Q30" s="51">
        <f t="shared" si="12"/>
        <v>916666.66666666674</v>
      </c>
      <c r="R30" s="52"/>
    </row>
    <row r="31" spans="1:18" x14ac:dyDescent="0.3">
      <c r="A31" s="118"/>
      <c r="B31" s="120"/>
      <c r="C31" s="1"/>
      <c r="D31" s="84"/>
      <c r="E31" s="84"/>
      <c r="F31" s="84"/>
      <c r="G31" s="84"/>
      <c r="H31" s="84"/>
      <c r="I31" s="84"/>
      <c r="J31" s="84"/>
      <c r="K31" s="84"/>
      <c r="L31" s="84"/>
      <c r="M31" s="85"/>
      <c r="N31" s="85"/>
      <c r="O31" s="85"/>
      <c r="P31" s="85"/>
      <c r="Q31" s="86">
        <f>SUM(D31:P31)</f>
        <v>0</v>
      </c>
      <c r="R31" s="52"/>
    </row>
    <row r="32" spans="1:18" x14ac:dyDescent="0.3">
      <c r="A32" s="118"/>
      <c r="B32" s="120"/>
      <c r="C32" s="1" t="s">
        <v>118</v>
      </c>
      <c r="D32" s="56">
        <f t="shared" ref="D32" si="14">1000000/12</f>
        <v>83333.333333333328</v>
      </c>
      <c r="E32" s="56">
        <f t="shared" si="13"/>
        <v>83333.333333333328</v>
      </c>
      <c r="F32" s="56">
        <f t="shared" si="13"/>
        <v>83333.333333333328</v>
      </c>
      <c r="G32" s="56">
        <f t="shared" si="13"/>
        <v>83333.333333333328</v>
      </c>
      <c r="H32" s="56">
        <f t="shared" si="13"/>
        <v>83333.333333333328</v>
      </c>
      <c r="I32" s="56">
        <f t="shared" si="13"/>
        <v>83333.333333333328</v>
      </c>
      <c r="J32" s="56">
        <f t="shared" si="13"/>
        <v>83333.333333333328</v>
      </c>
      <c r="K32" s="56">
        <f t="shared" si="13"/>
        <v>83333.333333333328</v>
      </c>
      <c r="L32" s="56">
        <f t="shared" si="13"/>
        <v>83333.333333333328</v>
      </c>
      <c r="M32" s="56">
        <f t="shared" si="13"/>
        <v>83333.333333333328</v>
      </c>
      <c r="N32" s="56">
        <f>1000000/12</f>
        <v>83333.333333333328</v>
      </c>
      <c r="O32" s="7">
        <v>0</v>
      </c>
      <c r="P32" s="7">
        <v>0</v>
      </c>
      <c r="Q32" s="51">
        <f t="shared" si="12"/>
        <v>916666.66666666674</v>
      </c>
      <c r="R32" s="52"/>
    </row>
    <row r="33" spans="1:18" x14ac:dyDescent="0.3">
      <c r="A33" s="118"/>
      <c r="B33" s="133"/>
      <c r="C33" s="1"/>
      <c r="D33" s="84"/>
      <c r="E33" s="84"/>
      <c r="F33" s="84"/>
      <c r="G33" s="84"/>
      <c r="H33" s="84"/>
      <c r="I33" s="84"/>
      <c r="J33" s="84"/>
      <c r="K33" s="84"/>
      <c r="L33" s="84"/>
      <c r="M33" s="85"/>
      <c r="N33" s="85"/>
      <c r="O33" s="85"/>
      <c r="P33" s="85"/>
      <c r="Q33" s="86">
        <f>SUM(D33:P33)</f>
        <v>0</v>
      </c>
      <c r="R33" s="52"/>
    </row>
    <row r="34" spans="1:18" x14ac:dyDescent="0.3">
      <c r="A34" s="118"/>
      <c r="B34" s="132" t="s">
        <v>119</v>
      </c>
      <c r="C34" s="10" t="s">
        <v>120</v>
      </c>
      <c r="D34" s="51">
        <f>100000/12</f>
        <v>8333.3333333333339</v>
      </c>
      <c r="E34" s="51">
        <f t="shared" ref="E34:P34" si="15">100000/12</f>
        <v>8333.3333333333339</v>
      </c>
      <c r="F34" s="51">
        <f t="shared" si="15"/>
        <v>8333.3333333333339</v>
      </c>
      <c r="G34" s="51">
        <f t="shared" si="15"/>
        <v>8333.3333333333339</v>
      </c>
      <c r="H34" s="51">
        <f t="shared" si="15"/>
        <v>8333.3333333333339</v>
      </c>
      <c r="I34" s="51">
        <f t="shared" si="15"/>
        <v>8333.3333333333339</v>
      </c>
      <c r="J34" s="51">
        <f t="shared" si="15"/>
        <v>8333.3333333333339</v>
      </c>
      <c r="K34" s="51">
        <v>0</v>
      </c>
      <c r="L34" s="51">
        <v>0</v>
      </c>
      <c r="M34" s="51">
        <f t="shared" si="15"/>
        <v>8333.3333333333339</v>
      </c>
      <c r="N34" s="51">
        <f t="shared" si="15"/>
        <v>8333.3333333333339</v>
      </c>
      <c r="O34" s="51">
        <f t="shared" si="15"/>
        <v>8333.3333333333339</v>
      </c>
      <c r="P34" s="51">
        <f t="shared" si="15"/>
        <v>8333.3333333333339</v>
      </c>
      <c r="Q34" s="51">
        <f>SUM(D34:P34)</f>
        <v>91666.666666666657</v>
      </c>
      <c r="R34" s="52"/>
    </row>
    <row r="35" spans="1:18" x14ac:dyDescent="0.3">
      <c r="A35" s="118"/>
      <c r="B35" s="120"/>
      <c r="C35" s="10"/>
      <c r="D35" s="84"/>
      <c r="E35" s="84"/>
      <c r="F35" s="84"/>
      <c r="G35" s="84"/>
      <c r="H35" s="84"/>
      <c r="I35" s="84"/>
      <c r="J35" s="84"/>
      <c r="K35" s="84"/>
      <c r="L35" s="84"/>
      <c r="M35" s="85"/>
      <c r="N35" s="85"/>
      <c r="O35" s="85"/>
      <c r="P35" s="85"/>
      <c r="Q35" s="86">
        <f>SUM(D35:P35)</f>
        <v>0</v>
      </c>
      <c r="R35" s="52"/>
    </row>
    <row r="36" spans="1:18" x14ac:dyDescent="0.3">
      <c r="A36" s="118"/>
      <c r="B36" s="120"/>
      <c r="C36" s="10" t="s">
        <v>121</v>
      </c>
      <c r="D36" s="51">
        <v>100000</v>
      </c>
      <c r="E36" s="51">
        <v>100000</v>
      </c>
      <c r="F36" s="51">
        <v>100000</v>
      </c>
      <c r="G36" s="51">
        <v>100000</v>
      </c>
      <c r="H36" s="51">
        <v>100000</v>
      </c>
      <c r="I36" s="51">
        <v>100000</v>
      </c>
      <c r="J36" s="51">
        <v>100000</v>
      </c>
      <c r="K36" s="51">
        <v>0</v>
      </c>
      <c r="L36" s="51">
        <v>0</v>
      </c>
      <c r="M36" s="51">
        <v>100000</v>
      </c>
      <c r="N36" s="51">
        <v>100000</v>
      </c>
      <c r="O36" s="7">
        <v>0</v>
      </c>
      <c r="P36" s="7">
        <v>0</v>
      </c>
      <c r="Q36" s="51">
        <f>SUM(D36:P36)</f>
        <v>900000</v>
      </c>
      <c r="R36" s="52"/>
    </row>
    <row r="37" spans="1:18" x14ac:dyDescent="0.3">
      <c r="A37" s="118"/>
      <c r="B37" s="133"/>
      <c r="C37" s="10"/>
      <c r="D37" s="84"/>
      <c r="E37" s="84"/>
      <c r="F37" s="84"/>
      <c r="G37" s="84"/>
      <c r="H37" s="84"/>
      <c r="I37" s="84"/>
      <c r="J37" s="84"/>
      <c r="K37" s="84"/>
      <c r="L37" s="84"/>
      <c r="M37" s="85"/>
      <c r="N37" s="85"/>
      <c r="O37" s="85"/>
      <c r="P37" s="85"/>
      <c r="Q37" s="86">
        <f>SUM(D37:P37)</f>
        <v>0</v>
      </c>
      <c r="R37" s="52"/>
    </row>
    <row r="38" spans="1:18" x14ac:dyDescent="0.3">
      <c r="A38" s="118"/>
      <c r="B38" s="132" t="s">
        <v>122</v>
      </c>
      <c r="C38" s="10" t="s">
        <v>123</v>
      </c>
      <c r="D38" s="51">
        <f>100000/8</f>
        <v>12500</v>
      </c>
      <c r="E38" s="51">
        <f t="shared" ref="E38:L38" si="16">100000/8</f>
        <v>12500</v>
      </c>
      <c r="F38" s="51">
        <f t="shared" si="16"/>
        <v>12500</v>
      </c>
      <c r="G38" s="51">
        <v>0</v>
      </c>
      <c r="H38" s="51">
        <f t="shared" si="16"/>
        <v>12500</v>
      </c>
      <c r="I38" s="51">
        <f t="shared" si="16"/>
        <v>12500</v>
      </c>
      <c r="J38" s="51">
        <f t="shared" si="16"/>
        <v>12500</v>
      </c>
      <c r="K38" s="51">
        <f t="shared" si="16"/>
        <v>12500</v>
      </c>
      <c r="L38" s="51">
        <f t="shared" si="16"/>
        <v>12500</v>
      </c>
      <c r="M38" s="51">
        <v>0</v>
      </c>
      <c r="N38" s="51">
        <v>0</v>
      </c>
      <c r="O38" s="7">
        <v>0</v>
      </c>
      <c r="P38" s="7">
        <v>0</v>
      </c>
      <c r="Q38" s="51">
        <f t="shared" si="12"/>
        <v>100000</v>
      </c>
      <c r="R38" s="52"/>
    </row>
    <row r="39" spans="1:18" x14ac:dyDescent="0.3">
      <c r="A39" s="118"/>
      <c r="B39" s="120"/>
      <c r="C39" s="101" t="s">
        <v>212</v>
      </c>
      <c r="D39" s="84">
        <v>16000</v>
      </c>
      <c r="E39" s="84">
        <v>16000</v>
      </c>
      <c r="F39" s="84">
        <v>16000</v>
      </c>
      <c r="G39" s="84"/>
      <c r="H39" s="84">
        <v>16000</v>
      </c>
      <c r="I39" s="84">
        <v>16000</v>
      </c>
      <c r="J39" s="84">
        <v>16000</v>
      </c>
      <c r="K39" s="84"/>
      <c r="L39" s="84"/>
      <c r="M39" s="85"/>
      <c r="N39" s="85"/>
      <c r="O39" s="85"/>
      <c r="P39" s="85"/>
      <c r="Q39" s="86">
        <f>SUM(D39:P39)</f>
        <v>96000</v>
      </c>
      <c r="R39" s="52"/>
    </row>
    <row r="40" spans="1:18" x14ac:dyDescent="0.3">
      <c r="A40" s="118"/>
      <c r="B40" s="120"/>
      <c r="C40" s="10" t="s">
        <v>124</v>
      </c>
      <c r="D40" s="51">
        <f>100000/6</f>
        <v>16666.666666666668</v>
      </c>
      <c r="E40" s="51">
        <f t="shared" ref="E40:J40" si="17">100000/6</f>
        <v>16666.666666666668</v>
      </c>
      <c r="F40" s="51">
        <f t="shared" si="17"/>
        <v>16666.666666666668</v>
      </c>
      <c r="G40" s="51">
        <v>0</v>
      </c>
      <c r="H40" s="51">
        <f t="shared" si="17"/>
        <v>16666.666666666668</v>
      </c>
      <c r="I40" s="51">
        <f t="shared" si="17"/>
        <v>16666.666666666668</v>
      </c>
      <c r="J40" s="51">
        <f t="shared" si="17"/>
        <v>16666.666666666668</v>
      </c>
      <c r="K40" s="51">
        <v>0</v>
      </c>
      <c r="L40" s="51">
        <v>0</v>
      </c>
      <c r="M40" s="51">
        <v>0</v>
      </c>
      <c r="N40" s="51">
        <v>0</v>
      </c>
      <c r="O40" s="7">
        <v>0</v>
      </c>
      <c r="P40" s="7">
        <v>0</v>
      </c>
      <c r="Q40" s="51">
        <f>SUM(D40:P40)</f>
        <v>100000.00000000001</v>
      </c>
      <c r="R40" s="52"/>
    </row>
    <row r="41" spans="1:18" x14ac:dyDescent="0.3">
      <c r="A41" s="118"/>
      <c r="B41" s="133"/>
      <c r="C41" s="10"/>
      <c r="D41" s="84"/>
      <c r="E41" s="84"/>
      <c r="F41" s="84"/>
      <c r="G41" s="84"/>
      <c r="H41" s="84"/>
      <c r="I41" s="84"/>
      <c r="J41" s="84"/>
      <c r="K41" s="84"/>
      <c r="L41" s="84"/>
      <c r="M41" s="85"/>
      <c r="N41" s="85"/>
      <c r="O41" s="85"/>
      <c r="P41" s="85"/>
      <c r="Q41" s="86">
        <f>SUM(D41:P41)</f>
        <v>0</v>
      </c>
      <c r="R41" s="52"/>
    </row>
    <row r="42" spans="1:18" ht="32.4" customHeight="1" x14ac:dyDescent="0.3">
      <c r="A42" s="118"/>
      <c r="B42" s="132" t="s">
        <v>60</v>
      </c>
      <c r="C42" s="1" t="s">
        <v>61</v>
      </c>
      <c r="D42" s="51">
        <v>100000</v>
      </c>
      <c r="E42" s="51">
        <v>100000</v>
      </c>
      <c r="F42" s="51">
        <v>100000</v>
      </c>
      <c r="G42" s="51">
        <v>100000</v>
      </c>
      <c r="H42" s="51">
        <v>100000</v>
      </c>
      <c r="I42" s="51">
        <v>100000</v>
      </c>
      <c r="J42" s="51">
        <v>100000</v>
      </c>
      <c r="K42" s="51">
        <v>0</v>
      </c>
      <c r="L42" s="51">
        <v>0</v>
      </c>
      <c r="M42" s="51">
        <v>100000</v>
      </c>
      <c r="N42" s="51">
        <v>100000</v>
      </c>
      <c r="O42" s="51">
        <v>10000</v>
      </c>
      <c r="P42" s="51">
        <v>10000</v>
      </c>
      <c r="Q42" s="51">
        <f t="shared" si="12"/>
        <v>920000</v>
      </c>
      <c r="R42" s="52"/>
    </row>
    <row r="43" spans="1:18" x14ac:dyDescent="0.3">
      <c r="A43" s="118"/>
      <c r="B43" s="133"/>
      <c r="C43" s="1"/>
      <c r="D43" s="84"/>
      <c r="E43" s="84"/>
      <c r="F43" s="84"/>
      <c r="G43" s="84"/>
      <c r="H43" s="84"/>
      <c r="I43" s="84"/>
      <c r="J43" s="84"/>
      <c r="K43" s="84"/>
      <c r="L43" s="84"/>
      <c r="M43" s="85"/>
      <c r="N43" s="85"/>
      <c r="O43" s="85"/>
      <c r="P43" s="85"/>
      <c r="Q43" s="86">
        <f>SUM(D43:P43)</f>
        <v>0</v>
      </c>
      <c r="R43" s="52"/>
    </row>
    <row r="44" spans="1:18" x14ac:dyDescent="0.3">
      <c r="A44" s="118"/>
      <c r="B44" s="132" t="s">
        <v>63</v>
      </c>
      <c r="C44" s="1" t="s">
        <v>64</v>
      </c>
      <c r="D44" s="51">
        <f>1500000/12</f>
        <v>125000</v>
      </c>
      <c r="E44" s="51">
        <f t="shared" ref="E44:M44" si="18">1500000/12</f>
        <v>125000</v>
      </c>
      <c r="F44" s="51">
        <f t="shared" si="18"/>
        <v>125000</v>
      </c>
      <c r="G44" s="51">
        <f t="shared" si="18"/>
        <v>125000</v>
      </c>
      <c r="H44" s="51">
        <f t="shared" si="18"/>
        <v>125000</v>
      </c>
      <c r="I44" s="51">
        <f t="shared" si="18"/>
        <v>125000</v>
      </c>
      <c r="J44" s="51">
        <f t="shared" si="18"/>
        <v>125000</v>
      </c>
      <c r="K44" s="51">
        <v>0</v>
      </c>
      <c r="L44" s="51">
        <v>0</v>
      </c>
      <c r="M44" s="51">
        <f t="shared" si="18"/>
        <v>125000</v>
      </c>
      <c r="N44" s="51">
        <f>1500000/12</f>
        <v>125000</v>
      </c>
      <c r="O44" s="51">
        <v>0</v>
      </c>
      <c r="P44" s="51">
        <v>0</v>
      </c>
      <c r="Q44" s="51">
        <f t="shared" si="12"/>
        <v>1125000</v>
      </c>
      <c r="R44" s="52"/>
    </row>
    <row r="45" spans="1:18" x14ac:dyDescent="0.3">
      <c r="A45" s="118"/>
      <c r="B45" s="120"/>
      <c r="C45" s="1"/>
      <c r="D45" s="84"/>
      <c r="E45" s="84"/>
      <c r="F45" s="84"/>
      <c r="G45" s="84"/>
      <c r="H45" s="84"/>
      <c r="I45" s="84"/>
      <c r="J45" s="84"/>
      <c r="K45" s="84"/>
      <c r="L45" s="84"/>
      <c r="M45" s="85"/>
      <c r="N45" s="85"/>
      <c r="O45" s="85"/>
      <c r="P45" s="85"/>
      <c r="Q45" s="86">
        <f>SUM(D45:P45)</f>
        <v>0</v>
      </c>
      <c r="R45" s="52"/>
    </row>
    <row r="46" spans="1:18" x14ac:dyDescent="0.3">
      <c r="A46" s="118"/>
      <c r="B46" s="120"/>
      <c r="C46" s="1" t="s">
        <v>67</v>
      </c>
      <c r="D46" s="24">
        <f>1000000/12</f>
        <v>83333.333333333328</v>
      </c>
      <c r="E46" s="24">
        <f>1000000/12</f>
        <v>83333.333333333328</v>
      </c>
      <c r="F46" s="24">
        <f t="shared" ref="F46:J46" si="19">1000000/12</f>
        <v>83333.333333333328</v>
      </c>
      <c r="G46" s="24">
        <f t="shared" si="19"/>
        <v>83333.333333333328</v>
      </c>
      <c r="H46" s="24">
        <f t="shared" si="19"/>
        <v>83333.333333333328</v>
      </c>
      <c r="I46" s="24">
        <f t="shared" si="19"/>
        <v>83333.333333333328</v>
      </c>
      <c r="J46" s="24">
        <f t="shared" si="19"/>
        <v>83333.333333333328</v>
      </c>
      <c r="K46" s="24">
        <v>0</v>
      </c>
      <c r="L46" s="24">
        <v>0</v>
      </c>
      <c r="M46" s="24">
        <f t="shared" ref="M46" si="20">1000000/12</f>
        <v>83333.333333333328</v>
      </c>
      <c r="N46" s="24">
        <f>1000000/12</f>
        <v>83333.333333333328</v>
      </c>
      <c r="O46" s="51">
        <v>0</v>
      </c>
      <c r="P46" s="51">
        <v>0</v>
      </c>
      <c r="Q46" s="51">
        <f t="shared" si="12"/>
        <v>750000</v>
      </c>
      <c r="R46" s="52"/>
    </row>
    <row r="47" spans="1:18" x14ac:dyDescent="0.3">
      <c r="A47" s="118"/>
      <c r="B47" s="120"/>
      <c r="C47" s="1"/>
      <c r="D47" s="84"/>
      <c r="E47" s="84"/>
      <c r="F47" s="84"/>
      <c r="G47" s="84"/>
      <c r="H47" s="84"/>
      <c r="I47" s="84"/>
      <c r="J47" s="84"/>
      <c r="K47" s="84"/>
      <c r="L47" s="84"/>
      <c r="M47" s="85"/>
      <c r="N47" s="85"/>
      <c r="O47" s="85"/>
      <c r="P47" s="85"/>
      <c r="Q47" s="86">
        <f>SUM(D47:P47)</f>
        <v>0</v>
      </c>
      <c r="R47" s="52"/>
    </row>
    <row r="48" spans="1:18" x14ac:dyDescent="0.3">
      <c r="A48" s="118"/>
      <c r="B48" s="120"/>
      <c r="C48" s="1" t="s">
        <v>69</v>
      </c>
      <c r="D48" s="51">
        <f>500000/12</f>
        <v>41666.666666666664</v>
      </c>
      <c r="E48" s="51">
        <f t="shared" ref="E48:N48" si="21">500000/12</f>
        <v>41666.666666666664</v>
      </c>
      <c r="F48" s="51">
        <f t="shared" si="21"/>
        <v>41666.666666666664</v>
      </c>
      <c r="G48" s="51">
        <f t="shared" si="21"/>
        <v>41666.666666666664</v>
      </c>
      <c r="H48" s="51">
        <f t="shared" si="21"/>
        <v>41666.666666666664</v>
      </c>
      <c r="I48" s="51">
        <f t="shared" si="21"/>
        <v>41666.666666666664</v>
      </c>
      <c r="J48" s="51">
        <f t="shared" si="21"/>
        <v>41666.666666666664</v>
      </c>
      <c r="K48" s="51">
        <f t="shared" si="21"/>
        <v>41666.666666666664</v>
      </c>
      <c r="L48" s="51">
        <f t="shared" si="21"/>
        <v>41666.666666666664</v>
      </c>
      <c r="M48" s="51">
        <f t="shared" si="21"/>
        <v>41666.666666666664</v>
      </c>
      <c r="N48" s="51">
        <f t="shared" si="21"/>
        <v>41666.666666666664</v>
      </c>
      <c r="O48" s="51">
        <v>0</v>
      </c>
      <c r="P48" s="51">
        <v>0</v>
      </c>
      <c r="Q48" s="51">
        <f t="shared" si="12"/>
        <v>458333.33333333337</v>
      </c>
      <c r="R48" s="52"/>
    </row>
    <row r="49" spans="1:18" x14ac:dyDescent="0.3">
      <c r="A49" s="127"/>
      <c r="B49" s="133"/>
      <c r="C49" s="1"/>
      <c r="D49" s="84"/>
      <c r="E49" s="84"/>
      <c r="F49" s="84"/>
      <c r="G49" s="84"/>
      <c r="H49" s="84"/>
      <c r="I49" s="84"/>
      <c r="J49" s="84"/>
      <c r="K49" s="84"/>
      <c r="L49" s="84"/>
      <c r="M49" s="85"/>
      <c r="N49" s="85"/>
      <c r="O49" s="85"/>
      <c r="P49" s="85"/>
      <c r="Q49" s="86">
        <f>SUM(D49:P49)</f>
        <v>0</v>
      </c>
      <c r="R49" s="52"/>
    </row>
    <row r="50" spans="1:18" ht="27.6" customHeight="1" x14ac:dyDescent="0.3">
      <c r="A50" s="110" t="s">
        <v>208</v>
      </c>
      <c r="B50" s="128" t="s">
        <v>74</v>
      </c>
      <c r="C50" s="21" t="s">
        <v>77</v>
      </c>
      <c r="D50" s="51">
        <f>800000/8</f>
        <v>100000</v>
      </c>
      <c r="E50" s="51">
        <f t="shared" ref="E50:J50" si="22">800000/8</f>
        <v>100000</v>
      </c>
      <c r="F50" s="51">
        <f t="shared" si="22"/>
        <v>100000</v>
      </c>
      <c r="G50" s="51">
        <f t="shared" si="22"/>
        <v>100000</v>
      </c>
      <c r="H50" s="51">
        <f t="shared" si="22"/>
        <v>100000</v>
      </c>
      <c r="I50" s="51">
        <f t="shared" si="22"/>
        <v>100000</v>
      </c>
      <c r="J50" s="51">
        <f t="shared" si="22"/>
        <v>100000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f t="shared" si="12"/>
        <v>700000</v>
      </c>
      <c r="R50" s="52"/>
    </row>
    <row r="51" spans="1:18" ht="48.6" x14ac:dyDescent="0.3">
      <c r="A51" s="110"/>
      <c r="B51" s="129"/>
      <c r="C51" s="21" t="s">
        <v>211</v>
      </c>
      <c r="D51" s="84">
        <v>50391</v>
      </c>
      <c r="E51" s="84">
        <v>50391</v>
      </c>
      <c r="F51" s="84"/>
      <c r="G51" s="84"/>
      <c r="H51" s="84">
        <v>50391</v>
      </c>
      <c r="I51" s="84">
        <v>50391</v>
      </c>
      <c r="J51" s="84">
        <v>50391</v>
      </c>
      <c r="K51" s="84"/>
      <c r="L51" s="84"/>
      <c r="M51" s="85"/>
      <c r="N51" s="85"/>
      <c r="O51" s="85"/>
      <c r="P51" s="85"/>
      <c r="Q51" s="86">
        <f>SUM(D51:P51)</f>
        <v>251955</v>
      </c>
      <c r="R51" s="52"/>
    </row>
    <row r="52" spans="1:18" x14ac:dyDescent="0.3">
      <c r="A52" s="110"/>
      <c r="B52" s="130" t="s">
        <v>79</v>
      </c>
      <c r="C52" s="21" t="s">
        <v>80</v>
      </c>
      <c r="D52" s="57">
        <f t="shared" ref="D52:J52" si="23">3000000/10</f>
        <v>300000</v>
      </c>
      <c r="E52" s="57">
        <f t="shared" si="23"/>
        <v>300000</v>
      </c>
      <c r="F52" s="57">
        <f t="shared" si="23"/>
        <v>300000</v>
      </c>
      <c r="G52" s="57">
        <f t="shared" si="23"/>
        <v>300000</v>
      </c>
      <c r="H52" s="57">
        <f t="shared" si="23"/>
        <v>300000</v>
      </c>
      <c r="I52" s="57">
        <f t="shared" si="23"/>
        <v>300000</v>
      </c>
      <c r="J52" s="57">
        <f t="shared" si="23"/>
        <v>300000</v>
      </c>
      <c r="K52" s="57">
        <v>0</v>
      </c>
      <c r="L52" s="57">
        <v>0</v>
      </c>
      <c r="M52" s="57">
        <f>3000000/10</f>
        <v>300000</v>
      </c>
      <c r="N52" s="57">
        <f>3000000/10</f>
        <v>300000</v>
      </c>
      <c r="O52" s="51">
        <v>0</v>
      </c>
      <c r="P52" s="51">
        <v>0</v>
      </c>
      <c r="Q52" s="51">
        <f t="shared" ref="Q52" si="24">SUM(D52:P52)</f>
        <v>2700000</v>
      </c>
      <c r="R52" s="52"/>
    </row>
    <row r="53" spans="1:18" x14ac:dyDescent="0.3">
      <c r="A53" s="110"/>
      <c r="B53" s="131"/>
      <c r="C53" s="100" t="s">
        <v>210</v>
      </c>
      <c r="D53" s="84">
        <v>46154</v>
      </c>
      <c r="E53" s="84">
        <v>46154</v>
      </c>
      <c r="F53" s="84">
        <v>46154</v>
      </c>
      <c r="G53" s="84">
        <v>46154</v>
      </c>
      <c r="H53" s="84">
        <v>46154</v>
      </c>
      <c r="I53" s="84">
        <v>46154</v>
      </c>
      <c r="J53" s="84">
        <v>46154</v>
      </c>
      <c r="K53" s="84">
        <v>46154</v>
      </c>
      <c r="L53" s="84">
        <v>46154</v>
      </c>
      <c r="M53" s="85">
        <v>46154</v>
      </c>
      <c r="N53" s="85">
        <v>46154</v>
      </c>
      <c r="O53" s="85">
        <v>46153</v>
      </c>
      <c r="P53" s="85">
        <v>46153</v>
      </c>
      <c r="Q53" s="86">
        <f>SUM(D53:P53)</f>
        <v>600000</v>
      </c>
      <c r="R53" s="52"/>
    </row>
    <row r="54" spans="1:18" x14ac:dyDescent="0.3">
      <c r="C54" s="58" t="s">
        <v>125</v>
      </c>
      <c r="D54" s="59">
        <f t="shared" ref="D54:Q54" si="25">SUM(D2:D53)</f>
        <v>2214030.7113997112</v>
      </c>
      <c r="E54" s="59">
        <f t="shared" si="25"/>
        <v>2213818.7113997112</v>
      </c>
      <c r="F54" s="59">
        <f t="shared" si="25"/>
        <v>2140678.7113997112</v>
      </c>
      <c r="G54" s="59">
        <f t="shared" si="25"/>
        <v>2108684.0447330447</v>
      </c>
      <c r="H54" s="59">
        <f t="shared" si="25"/>
        <v>2085461.7113997114</v>
      </c>
      <c r="I54" s="59">
        <f t="shared" si="25"/>
        <v>2143894.7113997112</v>
      </c>
      <c r="J54" s="59">
        <f t="shared" si="25"/>
        <v>2152289.7113997112</v>
      </c>
      <c r="K54" s="59">
        <f t="shared" si="25"/>
        <v>746601.96969696973</v>
      </c>
      <c r="L54" s="59">
        <f t="shared" si="25"/>
        <v>714633.96969696973</v>
      </c>
      <c r="M54" s="59">
        <f t="shared" si="25"/>
        <v>1753130.9797979798</v>
      </c>
      <c r="N54" s="59">
        <f t="shared" si="25"/>
        <v>2320990.0909090908</v>
      </c>
      <c r="O54" s="59">
        <f t="shared" si="25"/>
        <v>207587.42424242425</v>
      </c>
      <c r="P54" s="59">
        <f t="shared" si="25"/>
        <v>205108.42424242425</v>
      </c>
      <c r="Q54" s="59">
        <f t="shared" si="25"/>
        <v>20933836.171717171</v>
      </c>
      <c r="R54" s="52"/>
    </row>
    <row r="56" spans="1:18" x14ac:dyDescent="0.3">
      <c r="D56" s="60">
        <v>2023</v>
      </c>
      <c r="E56" s="60">
        <v>2024</v>
      </c>
      <c r="F56" s="60">
        <v>2025</v>
      </c>
      <c r="G56" s="60">
        <v>2026</v>
      </c>
      <c r="H56" s="60">
        <v>2027</v>
      </c>
    </row>
    <row r="57" spans="1:18" x14ac:dyDescent="0.3">
      <c r="C57" s="62" t="s">
        <v>126</v>
      </c>
      <c r="D57" s="63">
        <f>'[1]2023預算'!$D$45</f>
        <v>9800000</v>
      </c>
      <c r="E57" s="63">
        <f>'2024預算(總處)'!$D$49</f>
        <v>7300000</v>
      </c>
      <c r="F57" s="63">
        <f>'[1]2025預算'!$D$45</f>
        <v>4500000</v>
      </c>
      <c r="G57" s="63">
        <f>'[1]2026預算'!$D$45</f>
        <v>1500000</v>
      </c>
      <c r="H57" s="63">
        <f>'[1]2027預算'!$D$45</f>
        <v>6500000</v>
      </c>
    </row>
    <row r="58" spans="1:18" x14ac:dyDescent="0.3">
      <c r="C58" s="64" t="s">
        <v>127</v>
      </c>
      <c r="D58" s="65">
        <f>'[1]2023預算'!$D$46</f>
        <v>5400579.4573643412</v>
      </c>
      <c r="E58" s="65">
        <f>'2024預算(總處)'!$D$50</f>
        <v>9885573.9797979817</v>
      </c>
      <c r="F58" s="65">
        <f>'[1]2025預算'!$D$46</f>
        <v>13893220.790697671</v>
      </c>
      <c r="G58" s="65">
        <f>'[1]2026預算'!$D$46</f>
        <v>8134970.7906976752</v>
      </c>
      <c r="H58" s="65">
        <f>'[1]2027預算'!$D$46</f>
        <v>7418454.1400000006</v>
      </c>
    </row>
    <row r="59" spans="1:18" x14ac:dyDescent="0.3">
      <c r="L59" s="66"/>
    </row>
  </sheetData>
  <mergeCells count="15">
    <mergeCell ref="A28:A49"/>
    <mergeCell ref="B50:B51"/>
    <mergeCell ref="B52:B53"/>
    <mergeCell ref="B28:B33"/>
    <mergeCell ref="B34:B37"/>
    <mergeCell ref="B38:B41"/>
    <mergeCell ref="B42:B43"/>
    <mergeCell ref="B44:B49"/>
    <mergeCell ref="A50:A53"/>
    <mergeCell ref="A2:A27"/>
    <mergeCell ref="B1:C1"/>
    <mergeCell ref="B2:B5"/>
    <mergeCell ref="B6:B19"/>
    <mergeCell ref="B20:B21"/>
    <mergeCell ref="B22:B27"/>
  </mergeCells>
  <phoneticPr fontId="4" type="noConversion"/>
  <pageMargins left="0.25" right="0.25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E2FB-A820-41D3-B14F-81A53F9C1EDC}">
  <sheetPr codeName="工作表3"/>
  <dimension ref="A1:P44"/>
  <sheetViews>
    <sheetView tabSelected="1" topLeftCell="A13" zoomScale="85" zoomScaleNormal="85" workbookViewId="0">
      <selection activeCell="N11" sqref="N11"/>
    </sheetView>
  </sheetViews>
  <sheetFormatPr defaultRowHeight="16.2" x14ac:dyDescent="0.3"/>
  <cols>
    <col min="1" max="1" width="18.44140625" customWidth="1"/>
    <col min="2" max="2" width="11.77734375" customWidth="1"/>
    <col min="3" max="3" width="44.5546875" customWidth="1"/>
    <col min="4" max="15" width="12" style="75" customWidth="1"/>
    <col min="16" max="16" width="3.5546875" customWidth="1"/>
  </cols>
  <sheetData>
    <row r="1" spans="1:16" ht="18" customHeight="1" x14ac:dyDescent="0.3">
      <c r="A1" s="68" t="s">
        <v>133</v>
      </c>
      <c r="B1" s="68"/>
      <c r="C1" s="69" t="s">
        <v>134</v>
      </c>
      <c r="D1" s="69" t="s">
        <v>135</v>
      </c>
      <c r="E1" s="69" t="s">
        <v>136</v>
      </c>
      <c r="F1" s="69" t="s">
        <v>137</v>
      </c>
      <c r="G1" s="69" t="s">
        <v>138</v>
      </c>
      <c r="H1" s="69" t="s">
        <v>139</v>
      </c>
      <c r="I1" s="69" t="s">
        <v>140</v>
      </c>
      <c r="J1" s="69" t="s">
        <v>141</v>
      </c>
      <c r="K1" s="69" t="s">
        <v>142</v>
      </c>
      <c r="L1" s="69" t="s">
        <v>143</v>
      </c>
      <c r="M1" s="69" t="s">
        <v>144</v>
      </c>
      <c r="N1" s="69" t="s">
        <v>145</v>
      </c>
      <c r="O1" s="69" t="s">
        <v>146</v>
      </c>
    </row>
    <row r="2" spans="1:16" x14ac:dyDescent="0.3">
      <c r="A2" s="137" t="s">
        <v>147</v>
      </c>
      <c r="B2" s="70" t="s">
        <v>148</v>
      </c>
      <c r="C2" s="52" t="s">
        <v>149</v>
      </c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8"/>
      <c r="P2" s="134" t="s">
        <v>202</v>
      </c>
    </row>
    <row r="3" spans="1:16" x14ac:dyDescent="0.3">
      <c r="A3" s="137"/>
      <c r="B3" s="70" t="s">
        <v>148</v>
      </c>
      <c r="C3" s="52" t="s">
        <v>150</v>
      </c>
      <c r="D3" s="76"/>
      <c r="E3" s="76"/>
      <c r="F3" s="76"/>
      <c r="G3" s="76"/>
      <c r="H3" s="76"/>
      <c r="I3" s="76"/>
      <c r="J3" s="76"/>
      <c r="K3" s="76"/>
      <c r="L3" s="77"/>
      <c r="M3" s="77"/>
      <c r="N3" s="77"/>
      <c r="O3" s="78"/>
      <c r="P3" s="135"/>
    </row>
    <row r="4" spans="1:16" x14ac:dyDescent="0.3">
      <c r="A4" s="137"/>
      <c r="B4" s="70" t="s">
        <v>148</v>
      </c>
      <c r="C4" s="52" t="s">
        <v>151</v>
      </c>
      <c r="D4" s="76"/>
      <c r="E4" s="76"/>
      <c r="F4" s="76"/>
      <c r="G4" s="104">
        <v>34700</v>
      </c>
      <c r="H4" s="76"/>
      <c r="I4" s="76"/>
      <c r="J4" s="76"/>
      <c r="K4" s="76"/>
      <c r="L4" s="76"/>
      <c r="M4" s="76"/>
      <c r="N4" s="76"/>
      <c r="O4" s="76"/>
      <c r="P4" s="135"/>
    </row>
    <row r="5" spans="1:16" x14ac:dyDescent="0.3">
      <c r="A5" s="137"/>
      <c r="B5" s="70" t="s">
        <v>152</v>
      </c>
      <c r="C5" s="52" t="s">
        <v>153</v>
      </c>
      <c r="D5" s="76"/>
      <c r="E5" s="76"/>
      <c r="F5" s="76"/>
      <c r="G5" s="77"/>
      <c r="H5" s="76"/>
      <c r="I5" s="77"/>
      <c r="J5" s="76"/>
      <c r="K5" s="76"/>
      <c r="L5" s="76"/>
      <c r="M5" s="76"/>
      <c r="N5" s="78"/>
      <c r="O5" s="76"/>
      <c r="P5" s="135"/>
    </row>
    <row r="6" spans="1:16" x14ac:dyDescent="0.3">
      <c r="A6" s="137"/>
      <c r="B6" s="70" t="s">
        <v>154</v>
      </c>
      <c r="C6" s="68" t="s">
        <v>155</v>
      </c>
      <c r="D6" s="76"/>
      <c r="E6" s="76"/>
      <c r="F6" s="76"/>
      <c r="G6" s="76"/>
      <c r="H6" s="76"/>
      <c r="I6" s="76"/>
      <c r="J6" s="78">
        <v>38808</v>
      </c>
      <c r="K6" s="76"/>
      <c r="L6" s="76"/>
      <c r="M6" s="76"/>
      <c r="N6" s="76"/>
      <c r="O6" s="76"/>
      <c r="P6" s="135"/>
    </row>
    <row r="7" spans="1:16" ht="32.4" x14ac:dyDescent="0.3">
      <c r="A7" s="137"/>
      <c r="B7" s="71" t="s">
        <v>156</v>
      </c>
      <c r="C7" s="52" t="s">
        <v>157</v>
      </c>
      <c r="D7" s="76"/>
      <c r="E7" s="76"/>
      <c r="F7" s="76"/>
      <c r="G7" s="76"/>
      <c r="H7" s="76"/>
      <c r="I7" s="76"/>
      <c r="J7" s="76"/>
      <c r="K7" s="76"/>
      <c r="L7" s="76"/>
      <c r="M7" s="109" t="s">
        <v>231</v>
      </c>
      <c r="N7" s="76"/>
      <c r="O7" s="76"/>
      <c r="P7" s="135"/>
    </row>
    <row r="8" spans="1:16" x14ac:dyDescent="0.3">
      <c r="A8" s="137"/>
      <c r="B8" s="70" t="s">
        <v>158</v>
      </c>
      <c r="C8" s="52" t="s">
        <v>159</v>
      </c>
      <c r="D8" s="76"/>
      <c r="E8" s="104">
        <v>231422</v>
      </c>
      <c r="F8" s="77"/>
      <c r="G8" s="77"/>
      <c r="H8" s="77"/>
      <c r="I8" s="77"/>
      <c r="J8" s="77"/>
      <c r="K8" s="77"/>
      <c r="L8" s="77"/>
      <c r="M8" s="77"/>
      <c r="N8" s="76"/>
      <c r="O8" s="76"/>
      <c r="P8" s="135"/>
    </row>
    <row r="9" spans="1:16" x14ac:dyDescent="0.3">
      <c r="A9" s="137"/>
      <c r="B9" s="70" t="s">
        <v>160</v>
      </c>
      <c r="C9" s="52" t="s">
        <v>161</v>
      </c>
      <c r="D9" s="76"/>
      <c r="E9" s="77"/>
      <c r="F9" s="77"/>
      <c r="G9" s="77"/>
      <c r="H9" s="77"/>
      <c r="I9" s="77"/>
      <c r="J9" s="104">
        <v>17500</v>
      </c>
      <c r="K9" s="77"/>
      <c r="L9" s="77"/>
      <c r="M9" s="77"/>
      <c r="N9" s="76"/>
      <c r="O9" s="76"/>
      <c r="P9" s="135"/>
    </row>
    <row r="10" spans="1:16" x14ac:dyDescent="0.3">
      <c r="A10" s="137"/>
      <c r="B10" s="70" t="s">
        <v>160</v>
      </c>
      <c r="C10" s="52" t="s">
        <v>162</v>
      </c>
      <c r="D10" s="76"/>
      <c r="E10" s="77"/>
      <c r="F10" s="77"/>
      <c r="G10" s="77"/>
      <c r="H10" s="77"/>
      <c r="I10" s="77"/>
      <c r="J10" s="77"/>
      <c r="K10" s="104">
        <v>244905</v>
      </c>
      <c r="L10" s="104">
        <v>35000</v>
      </c>
      <c r="M10" s="77"/>
      <c r="N10" s="76"/>
      <c r="O10" s="76"/>
      <c r="P10" s="135"/>
    </row>
    <row r="11" spans="1:16" x14ac:dyDescent="0.3">
      <c r="A11" s="137"/>
      <c r="B11" s="70" t="s">
        <v>163</v>
      </c>
      <c r="C11" s="52" t="s">
        <v>164</v>
      </c>
      <c r="D11" s="76"/>
      <c r="E11" s="76"/>
      <c r="F11" s="76"/>
      <c r="G11" s="76"/>
      <c r="H11" s="76"/>
      <c r="I11" s="76"/>
      <c r="J11" s="76"/>
      <c r="K11" s="104">
        <v>392000</v>
      </c>
      <c r="L11" s="104">
        <v>90000</v>
      </c>
      <c r="M11" s="76"/>
      <c r="N11" s="76"/>
      <c r="O11" s="76"/>
      <c r="P11" s="135"/>
    </row>
    <row r="12" spans="1:16" x14ac:dyDescent="0.3">
      <c r="A12" s="137"/>
      <c r="B12" s="70" t="s">
        <v>165</v>
      </c>
      <c r="C12" s="52" t="s">
        <v>166</v>
      </c>
      <c r="D12" s="76"/>
      <c r="E12" s="76"/>
      <c r="F12" s="76"/>
      <c r="G12" s="76"/>
      <c r="H12" s="76"/>
      <c r="I12" s="78">
        <v>750618</v>
      </c>
      <c r="J12" s="76"/>
      <c r="K12" s="76"/>
      <c r="L12" s="76"/>
      <c r="M12" s="76"/>
      <c r="N12" s="76"/>
      <c r="O12" s="79"/>
      <c r="P12" s="135"/>
    </row>
    <row r="13" spans="1:16" ht="31.2" x14ac:dyDescent="0.3">
      <c r="A13" s="137"/>
      <c r="B13" s="70" t="s">
        <v>167</v>
      </c>
      <c r="C13" s="52" t="s">
        <v>168</v>
      </c>
      <c r="D13" s="76"/>
      <c r="E13" s="76"/>
      <c r="F13" s="76"/>
      <c r="G13" s="105">
        <v>250576</v>
      </c>
      <c r="H13" s="76"/>
      <c r="I13" s="76"/>
      <c r="J13" s="76"/>
      <c r="K13" s="76"/>
      <c r="L13" s="76"/>
      <c r="M13" s="76"/>
      <c r="N13" s="76"/>
      <c r="O13" s="78"/>
      <c r="P13" s="135"/>
    </row>
    <row r="14" spans="1:16" ht="17.25" customHeight="1" x14ac:dyDescent="0.3">
      <c r="A14" s="138" t="s">
        <v>134</v>
      </c>
      <c r="B14" s="138"/>
      <c r="C14" s="138"/>
      <c r="D14" s="69" t="s">
        <v>135</v>
      </c>
      <c r="E14" s="69" t="s">
        <v>136</v>
      </c>
      <c r="F14" s="69" t="s">
        <v>137</v>
      </c>
      <c r="G14" s="69" t="s">
        <v>138</v>
      </c>
      <c r="H14" s="69" t="s">
        <v>139</v>
      </c>
      <c r="I14" s="69" t="s">
        <v>140</v>
      </c>
      <c r="J14" s="69" t="s">
        <v>141</v>
      </c>
      <c r="K14" s="69" t="s">
        <v>142</v>
      </c>
      <c r="L14" s="69" t="s">
        <v>143</v>
      </c>
      <c r="M14" s="69" t="s">
        <v>144</v>
      </c>
      <c r="N14" s="69" t="s">
        <v>145</v>
      </c>
      <c r="O14" s="69" t="s">
        <v>146</v>
      </c>
      <c r="P14" s="135"/>
    </row>
    <row r="15" spans="1:16" x14ac:dyDescent="0.3">
      <c r="A15" s="139" t="s">
        <v>169</v>
      </c>
      <c r="B15" s="70" t="s">
        <v>160</v>
      </c>
      <c r="C15" s="52" t="s">
        <v>170</v>
      </c>
      <c r="D15" s="80"/>
      <c r="E15" s="80"/>
      <c r="F15" s="80"/>
      <c r="G15" s="77"/>
      <c r="H15" s="78">
        <v>77400</v>
      </c>
      <c r="I15" s="80"/>
      <c r="J15" s="77"/>
      <c r="K15" s="80"/>
      <c r="L15" s="80"/>
      <c r="M15" s="77"/>
      <c r="N15" s="80"/>
      <c r="O15" s="80"/>
      <c r="P15" s="135"/>
    </row>
    <row r="16" spans="1:16" x14ac:dyDescent="0.3">
      <c r="A16" s="139"/>
      <c r="B16" s="70" t="s">
        <v>171</v>
      </c>
      <c r="C16" s="52" t="s">
        <v>172</v>
      </c>
      <c r="D16" s="77"/>
      <c r="E16" s="77"/>
      <c r="F16" s="76"/>
      <c r="G16" s="76"/>
      <c r="H16" s="76"/>
      <c r="I16" s="78">
        <v>68000</v>
      </c>
      <c r="J16" s="76"/>
      <c r="K16" s="76"/>
      <c r="L16" s="76"/>
      <c r="M16" s="76"/>
      <c r="N16" s="76"/>
      <c r="O16" s="77"/>
      <c r="P16" s="135"/>
    </row>
    <row r="17" spans="1:16" ht="32.4" x14ac:dyDescent="0.3">
      <c r="A17" s="140"/>
      <c r="B17" s="70" t="s">
        <v>152</v>
      </c>
      <c r="C17" s="52" t="s">
        <v>173</v>
      </c>
      <c r="D17" s="76"/>
      <c r="E17" s="76"/>
      <c r="F17" s="107" t="s">
        <v>227</v>
      </c>
      <c r="G17" s="76"/>
      <c r="H17" s="76"/>
      <c r="I17" s="76"/>
      <c r="J17" s="76"/>
      <c r="K17" s="76"/>
      <c r="L17" s="76"/>
      <c r="M17" s="76"/>
      <c r="N17" s="76"/>
      <c r="O17" s="76"/>
      <c r="P17" s="135"/>
    </row>
    <row r="18" spans="1:16" x14ac:dyDescent="0.3">
      <c r="A18" s="140"/>
      <c r="B18" s="71" t="s">
        <v>154</v>
      </c>
      <c r="C18" s="52" t="s">
        <v>174</v>
      </c>
      <c r="D18" s="76"/>
      <c r="E18" s="76"/>
      <c r="F18" s="76"/>
      <c r="G18" s="76"/>
      <c r="H18" s="78"/>
      <c r="I18" s="78">
        <v>52762</v>
      </c>
      <c r="J18" s="76"/>
      <c r="K18" s="76"/>
      <c r="L18" s="76"/>
      <c r="M18" s="76"/>
      <c r="N18" s="76"/>
      <c r="O18" s="76"/>
      <c r="P18" s="135"/>
    </row>
    <row r="19" spans="1:16" x14ac:dyDescent="0.3">
      <c r="A19" s="140"/>
      <c r="B19" s="71" t="s">
        <v>156</v>
      </c>
      <c r="C19" s="52" t="s">
        <v>175</v>
      </c>
      <c r="D19" s="76"/>
      <c r="E19" s="76"/>
      <c r="F19" s="76"/>
      <c r="G19" s="76"/>
      <c r="H19" s="76"/>
      <c r="I19" s="78">
        <v>61800</v>
      </c>
      <c r="J19" s="76"/>
      <c r="K19" s="76"/>
      <c r="L19" s="76"/>
      <c r="M19" s="76"/>
      <c r="N19" s="76"/>
      <c r="O19" s="76"/>
      <c r="P19" s="135"/>
    </row>
    <row r="20" spans="1:16" ht="16.5" customHeight="1" x14ac:dyDescent="0.3">
      <c r="A20" s="140"/>
      <c r="B20" s="70" t="s">
        <v>148</v>
      </c>
      <c r="C20" s="52" t="s">
        <v>178</v>
      </c>
      <c r="D20" s="76"/>
      <c r="E20" s="76"/>
      <c r="F20" s="76"/>
      <c r="G20" s="76"/>
      <c r="H20" s="76"/>
      <c r="I20" s="146" t="s">
        <v>235</v>
      </c>
      <c r="J20" s="77"/>
      <c r="K20" s="76"/>
      <c r="L20" s="76"/>
      <c r="M20" s="76"/>
      <c r="N20" s="76"/>
      <c r="O20" s="76"/>
      <c r="P20" s="135"/>
    </row>
    <row r="21" spans="1:16" x14ac:dyDescent="0.3">
      <c r="A21" s="140"/>
      <c r="B21" s="72" t="s">
        <v>176</v>
      </c>
      <c r="C21" s="52" t="s">
        <v>170</v>
      </c>
      <c r="D21" s="76"/>
      <c r="E21" s="76"/>
      <c r="F21" s="78"/>
      <c r="G21" s="78"/>
      <c r="H21" s="78"/>
      <c r="I21" s="78">
        <v>99400</v>
      </c>
      <c r="J21" s="145" t="s">
        <v>232</v>
      </c>
      <c r="K21" s="76"/>
      <c r="L21" s="76"/>
      <c r="M21" s="76"/>
      <c r="N21" s="76"/>
      <c r="O21" s="76"/>
      <c r="P21" s="135"/>
    </row>
    <row r="22" spans="1:16" ht="18" customHeight="1" x14ac:dyDescent="0.3">
      <c r="A22" s="138" t="s">
        <v>134</v>
      </c>
      <c r="B22" s="138"/>
      <c r="C22" s="138"/>
      <c r="D22" s="69" t="s">
        <v>135</v>
      </c>
      <c r="E22" s="69" t="s">
        <v>136</v>
      </c>
      <c r="F22" s="69" t="s">
        <v>137</v>
      </c>
      <c r="G22" s="69" t="s">
        <v>138</v>
      </c>
      <c r="H22" s="69" t="s">
        <v>139</v>
      </c>
      <c r="I22" s="69" t="s">
        <v>140</v>
      </c>
      <c r="J22" s="69" t="s">
        <v>141</v>
      </c>
      <c r="K22" s="69" t="s">
        <v>142</v>
      </c>
      <c r="L22" s="69" t="s">
        <v>143</v>
      </c>
      <c r="M22" s="69" t="s">
        <v>144</v>
      </c>
      <c r="N22" s="69" t="s">
        <v>145</v>
      </c>
      <c r="O22" s="69" t="s">
        <v>146</v>
      </c>
      <c r="P22" s="135"/>
    </row>
    <row r="23" spans="1:16" ht="22.8" customHeight="1" x14ac:dyDescent="0.3">
      <c r="A23" s="141" t="s">
        <v>177</v>
      </c>
      <c r="B23" s="70" t="s">
        <v>171</v>
      </c>
      <c r="C23" s="52" t="s">
        <v>179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78"/>
      <c r="P23" s="135"/>
    </row>
    <row r="24" spans="1:16" x14ac:dyDescent="0.3">
      <c r="A24" s="142"/>
      <c r="B24" s="70" t="s">
        <v>171</v>
      </c>
      <c r="C24" s="73" t="s">
        <v>180</v>
      </c>
      <c r="D24" s="80"/>
      <c r="E24" s="80"/>
      <c r="F24" s="80"/>
      <c r="G24" s="80"/>
      <c r="H24" s="80"/>
      <c r="I24" s="80"/>
      <c r="J24" s="80"/>
      <c r="K24" s="146" t="s">
        <v>228</v>
      </c>
      <c r="L24" s="80"/>
      <c r="M24" s="146" t="s">
        <v>228</v>
      </c>
      <c r="N24" s="80"/>
      <c r="O24" s="80"/>
      <c r="P24" s="135"/>
    </row>
    <row r="25" spans="1:16" x14ac:dyDescent="0.3">
      <c r="A25" s="142"/>
      <c r="B25" s="70" t="s">
        <v>152</v>
      </c>
      <c r="C25" s="52" t="s">
        <v>181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78"/>
      <c r="O25" s="81"/>
      <c r="P25" s="135"/>
    </row>
    <row r="26" spans="1:16" x14ac:dyDescent="0.3">
      <c r="A26" s="142"/>
      <c r="B26" s="71" t="s">
        <v>156</v>
      </c>
      <c r="C26" s="73" t="s">
        <v>182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8"/>
      <c r="P26" s="135"/>
    </row>
    <row r="27" spans="1:16" x14ac:dyDescent="0.3">
      <c r="A27" s="142"/>
      <c r="B27" s="71" t="s">
        <v>156</v>
      </c>
      <c r="C27" s="52" t="s">
        <v>183</v>
      </c>
      <c r="D27" s="104">
        <v>96000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135"/>
    </row>
    <row r="28" spans="1:16" x14ac:dyDescent="0.3">
      <c r="A28" s="142"/>
      <c r="B28" s="71" t="s">
        <v>154</v>
      </c>
      <c r="C28" s="52" t="s">
        <v>184</v>
      </c>
      <c r="D28" s="77"/>
      <c r="E28" s="77"/>
      <c r="F28" s="104">
        <v>7200</v>
      </c>
      <c r="G28" s="77"/>
      <c r="H28" s="77"/>
      <c r="I28" s="77"/>
      <c r="J28" s="77"/>
      <c r="K28" s="77"/>
      <c r="L28" s="77"/>
      <c r="M28" s="77"/>
      <c r="N28" s="77"/>
      <c r="O28" s="77"/>
      <c r="P28" s="135"/>
    </row>
    <row r="29" spans="1:16" x14ac:dyDescent="0.3">
      <c r="A29" s="142"/>
      <c r="B29" s="71" t="s">
        <v>160</v>
      </c>
      <c r="C29" s="52" t="s">
        <v>184</v>
      </c>
      <c r="D29" s="77"/>
      <c r="E29" s="104">
        <v>19048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135"/>
    </row>
    <row r="30" spans="1:16" x14ac:dyDescent="0.3">
      <c r="A30" s="142"/>
      <c r="B30" s="71" t="s">
        <v>154</v>
      </c>
      <c r="C30" s="52" t="s">
        <v>185</v>
      </c>
      <c r="D30" s="77"/>
      <c r="E30" s="77"/>
      <c r="F30" s="77"/>
      <c r="G30" s="77"/>
      <c r="H30" s="77"/>
      <c r="I30" s="78">
        <v>1600</v>
      </c>
      <c r="J30" s="77"/>
      <c r="K30" s="77"/>
      <c r="L30" s="77"/>
      <c r="M30" s="77"/>
      <c r="N30" s="77"/>
      <c r="O30" s="77"/>
      <c r="P30" s="135"/>
    </row>
    <row r="31" spans="1:16" x14ac:dyDescent="0.3">
      <c r="A31" s="142"/>
      <c r="B31" s="71" t="s">
        <v>186</v>
      </c>
      <c r="C31" s="52" t="s">
        <v>187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135"/>
    </row>
    <row r="32" spans="1:16" x14ac:dyDescent="0.3">
      <c r="A32" s="142"/>
      <c r="B32" s="71" t="s">
        <v>186</v>
      </c>
      <c r="C32" s="52" t="s">
        <v>188</v>
      </c>
      <c r="D32" s="77"/>
      <c r="E32" s="104">
        <v>46070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135"/>
    </row>
    <row r="33" spans="1:16" x14ac:dyDescent="0.3">
      <c r="A33" s="142"/>
      <c r="B33" s="71" t="s">
        <v>186</v>
      </c>
      <c r="C33" s="52" t="s">
        <v>189</v>
      </c>
      <c r="D33" s="78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135"/>
    </row>
    <row r="34" spans="1:16" x14ac:dyDescent="0.3">
      <c r="A34" s="142"/>
      <c r="B34" s="71" t="s">
        <v>186</v>
      </c>
      <c r="C34" s="52" t="s">
        <v>190</v>
      </c>
      <c r="D34" s="77"/>
      <c r="E34" s="77"/>
      <c r="F34" s="77"/>
      <c r="G34" s="104">
        <v>208200</v>
      </c>
      <c r="H34" s="77"/>
      <c r="I34" s="77"/>
      <c r="J34" s="77"/>
      <c r="K34" s="77"/>
      <c r="L34" s="77"/>
      <c r="M34" s="77"/>
      <c r="N34" s="77"/>
      <c r="O34" s="77"/>
      <c r="P34" s="135"/>
    </row>
    <row r="35" spans="1:16" x14ac:dyDescent="0.3">
      <c r="A35" s="142"/>
      <c r="B35" s="71" t="s">
        <v>186</v>
      </c>
      <c r="C35" s="52" t="s">
        <v>191</v>
      </c>
      <c r="D35" s="77"/>
      <c r="E35" s="77"/>
      <c r="F35" s="82" t="s">
        <v>192</v>
      </c>
      <c r="G35" s="77"/>
      <c r="H35" s="77"/>
      <c r="I35" s="77"/>
      <c r="J35" s="77"/>
      <c r="K35" s="77" t="s">
        <v>229</v>
      </c>
      <c r="L35" s="77"/>
      <c r="M35" s="77"/>
      <c r="N35" s="77"/>
      <c r="O35" s="77"/>
      <c r="P35" s="135"/>
    </row>
    <row r="36" spans="1:16" x14ac:dyDescent="0.3">
      <c r="A36" s="142"/>
      <c r="B36" s="71" t="s">
        <v>186</v>
      </c>
      <c r="C36" s="52" t="s">
        <v>193</v>
      </c>
      <c r="D36" s="77"/>
      <c r="E36" s="77"/>
      <c r="F36" s="77"/>
      <c r="G36" s="77"/>
      <c r="H36" s="77"/>
      <c r="I36" s="144">
        <v>319999</v>
      </c>
      <c r="J36" s="77"/>
      <c r="K36" s="146" t="s">
        <v>233</v>
      </c>
      <c r="L36" s="77"/>
      <c r="M36" s="77"/>
      <c r="N36" s="77"/>
      <c r="O36" s="77"/>
      <c r="P36" s="135"/>
    </row>
    <row r="37" spans="1:16" x14ac:dyDescent="0.3">
      <c r="A37" s="142"/>
      <c r="B37" s="71" t="s">
        <v>186</v>
      </c>
      <c r="C37" s="52" t="s">
        <v>194</v>
      </c>
      <c r="D37" s="77"/>
      <c r="E37" s="77"/>
      <c r="F37" s="77"/>
      <c r="G37" s="77"/>
      <c r="H37" s="77"/>
      <c r="I37" s="146" t="s">
        <v>234</v>
      </c>
      <c r="J37" s="77"/>
      <c r="K37" s="77"/>
      <c r="L37" s="77"/>
      <c r="M37" s="77"/>
      <c r="N37" s="77"/>
      <c r="O37" s="77"/>
      <c r="P37" s="135"/>
    </row>
    <row r="38" spans="1:16" x14ac:dyDescent="0.3">
      <c r="A38" s="142"/>
      <c r="B38" s="71" t="s">
        <v>195</v>
      </c>
      <c r="C38" s="52" t="s">
        <v>196</v>
      </c>
      <c r="D38" s="104">
        <v>1018000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135"/>
    </row>
    <row r="39" spans="1:16" x14ac:dyDescent="0.3">
      <c r="A39" s="142"/>
      <c r="B39" s="71" t="s">
        <v>195</v>
      </c>
      <c r="C39" s="52" t="s">
        <v>197</v>
      </c>
      <c r="D39" s="77"/>
      <c r="E39" s="104">
        <v>205000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135"/>
    </row>
    <row r="40" spans="1:16" x14ac:dyDescent="0.3">
      <c r="A40" s="142"/>
      <c r="B40" s="71" t="s">
        <v>195</v>
      </c>
      <c r="C40" s="52" t="s">
        <v>198</v>
      </c>
      <c r="D40" s="77"/>
      <c r="E40" s="77"/>
      <c r="F40" s="77"/>
      <c r="G40" s="77"/>
      <c r="H40" s="77"/>
      <c r="I40" s="77"/>
      <c r="J40" s="77"/>
      <c r="K40" s="77"/>
      <c r="L40" s="77"/>
      <c r="M40" s="78" t="s">
        <v>230</v>
      </c>
      <c r="N40" s="77"/>
      <c r="O40" s="77"/>
      <c r="P40" s="135"/>
    </row>
    <row r="41" spans="1:16" x14ac:dyDescent="0.3">
      <c r="A41" s="142"/>
      <c r="B41" s="71" t="s">
        <v>195</v>
      </c>
      <c r="C41" s="52" t="s">
        <v>199</v>
      </c>
      <c r="D41" s="77"/>
      <c r="E41" s="77"/>
      <c r="F41" s="77"/>
      <c r="G41" s="104">
        <v>475200</v>
      </c>
      <c r="H41" s="77"/>
      <c r="I41" s="77"/>
      <c r="J41" s="77"/>
      <c r="K41" s="77"/>
      <c r="L41" s="77"/>
      <c r="M41" s="77"/>
      <c r="N41" s="77"/>
      <c r="O41" s="77"/>
      <c r="P41" s="135"/>
    </row>
    <row r="42" spans="1:16" x14ac:dyDescent="0.3">
      <c r="A42" s="142"/>
      <c r="B42" s="71" t="s">
        <v>195</v>
      </c>
      <c r="C42" s="52" t="s">
        <v>200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77"/>
      <c r="P42" s="135"/>
    </row>
    <row r="43" spans="1:16" s="74" customFormat="1" x14ac:dyDescent="0.3">
      <c r="A43" s="142"/>
      <c r="B43" s="71" t="s">
        <v>195</v>
      </c>
      <c r="C43" s="52" t="s">
        <v>201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78"/>
      <c r="P43" s="135"/>
    </row>
    <row r="44" spans="1:16" x14ac:dyDescent="0.3">
      <c r="A44" s="143"/>
      <c r="B44" s="71" t="s">
        <v>186</v>
      </c>
      <c r="C44" s="52" t="s">
        <v>203</v>
      </c>
      <c r="D44" s="104">
        <v>168604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8"/>
      <c r="P44" s="136"/>
    </row>
  </sheetData>
  <mergeCells count="6">
    <mergeCell ref="P2:P44"/>
    <mergeCell ref="A2:A13"/>
    <mergeCell ref="A14:C14"/>
    <mergeCell ref="A15:A21"/>
    <mergeCell ref="A22:C22"/>
    <mergeCell ref="A23:A44"/>
  </mergeCells>
  <phoneticPr fontId="4" type="noConversion"/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8E28-5F8A-4F21-BD26-858CEEE912B7}">
  <sheetPr codeName="工作表4"/>
  <dimension ref="A1:E12"/>
  <sheetViews>
    <sheetView workbookViewId="0">
      <selection activeCell="D19" sqref="D19"/>
    </sheetView>
  </sheetViews>
  <sheetFormatPr defaultRowHeight="16.2" x14ac:dyDescent="0.3"/>
  <cols>
    <col min="1" max="1" width="20.77734375" customWidth="1"/>
  </cols>
  <sheetData>
    <row r="1" spans="1:5" x14ac:dyDescent="0.3">
      <c r="A1" t="s">
        <v>214</v>
      </c>
      <c r="B1" t="s">
        <v>215</v>
      </c>
      <c r="D1" t="s">
        <v>216</v>
      </c>
      <c r="E1" s="106">
        <v>45446</v>
      </c>
    </row>
    <row r="2" spans="1:5" x14ac:dyDescent="0.3">
      <c r="A2" t="s">
        <v>218</v>
      </c>
      <c r="B2" t="s">
        <v>217</v>
      </c>
    </row>
    <row r="3" spans="1:5" x14ac:dyDescent="0.3">
      <c r="A3" t="s">
        <v>219</v>
      </c>
      <c r="B3" t="s">
        <v>215</v>
      </c>
    </row>
    <row r="4" spans="1:5" x14ac:dyDescent="0.3">
      <c r="A4" t="s">
        <v>220</v>
      </c>
    </row>
    <row r="5" spans="1:5" x14ac:dyDescent="0.3">
      <c r="A5" t="s">
        <v>221</v>
      </c>
    </row>
    <row r="6" spans="1:5" x14ac:dyDescent="0.3">
      <c r="A6" t="s">
        <v>225</v>
      </c>
    </row>
    <row r="7" spans="1:5" x14ac:dyDescent="0.3">
      <c r="A7" t="s">
        <v>226</v>
      </c>
    </row>
    <row r="10" spans="1:5" x14ac:dyDescent="0.3">
      <c r="A10" t="s">
        <v>224</v>
      </c>
    </row>
    <row r="11" spans="1:5" x14ac:dyDescent="0.3">
      <c r="A11" t="s">
        <v>222</v>
      </c>
    </row>
    <row r="12" spans="1:5" x14ac:dyDescent="0.3">
      <c r="A12" t="s">
        <v>223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2024預算(總處)</vt:lpstr>
      <vt:lpstr>2024預算-拆分至各廠</vt:lpstr>
      <vt:lpstr>2024各單位計畫</vt:lpstr>
      <vt:lpstr>軟體訂閱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總公司 駱正達 Chengta.Lo</dc:creator>
  <cp:lastModifiedBy>駱正達 950491</cp:lastModifiedBy>
  <dcterms:created xsi:type="dcterms:W3CDTF">2024-03-07T01:41:31Z</dcterms:created>
  <dcterms:modified xsi:type="dcterms:W3CDTF">2024-09-12T07:44:51Z</dcterms:modified>
</cp:coreProperties>
</file>