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hotw-my.sharepoint.com/personal/950491_tahoho_com_tw/Documents/桌面/預算編列/2024/"/>
    </mc:Choice>
  </mc:AlternateContent>
  <xr:revisionPtr revIDLastSave="186" documentId="8_{68C56FEC-9A92-4182-87F9-7BD8CF20BE19}" xr6:coauthVersionLast="47" xr6:coauthVersionMax="47" xr10:uidLastSave="{CA4C2F48-5F67-49E2-BBB3-FE58AAC148BD}"/>
  <bookViews>
    <workbookView xWindow="-108" yWindow="-108" windowWidth="23256" windowHeight="12576" xr2:uid="{A2792639-C034-4750-87D4-1EAB40D5E755}"/>
  </bookViews>
  <sheets>
    <sheet name="2024預算(總處)" sheetId="1" r:id="rId1"/>
    <sheet name="2024預算-拆分至各廠" sheetId="2" r:id="rId2"/>
    <sheet name="2024各單位計畫" sheetId="3" r:id="rId3"/>
  </sheets>
  <externalReferences>
    <externalReference r:id="rId4"/>
  </externalReferences>
  <definedNames>
    <definedName name="_xlnm._FilterDatabase" localSheetId="0" hidden="1">'2024預算(總處)'!$A$1:$H$45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29" i="1"/>
  <c r="I28" i="1"/>
  <c r="I27" i="1"/>
  <c r="I26" i="1"/>
  <c r="I25" i="1"/>
  <c r="I24" i="1"/>
  <c r="I23" i="1"/>
  <c r="I22" i="1"/>
  <c r="I21" i="1"/>
  <c r="I20" i="1"/>
  <c r="I19" i="1"/>
  <c r="I18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30" i="1"/>
  <c r="H34" i="2"/>
  <c r="G34" i="2"/>
  <c r="F34" i="2"/>
  <c r="D34" i="2"/>
  <c r="H33" i="2"/>
  <c r="G33" i="2"/>
  <c r="F33" i="2"/>
  <c r="D33" i="2"/>
  <c r="N29" i="2"/>
  <c r="M29" i="2"/>
  <c r="J29" i="2"/>
  <c r="I29" i="2"/>
  <c r="H29" i="2"/>
  <c r="G29" i="2"/>
  <c r="F29" i="2"/>
  <c r="E29" i="2"/>
  <c r="D29" i="2"/>
  <c r="Q29" i="2" s="1"/>
  <c r="Q28" i="2"/>
  <c r="J27" i="2"/>
  <c r="I27" i="2"/>
  <c r="H27" i="2"/>
  <c r="G27" i="2"/>
  <c r="F27" i="2"/>
  <c r="E27" i="2"/>
  <c r="Q27" i="2" s="1"/>
  <c r="D27" i="2"/>
  <c r="N25" i="2"/>
  <c r="M25" i="2"/>
  <c r="L25" i="2"/>
  <c r="K25" i="2"/>
  <c r="J25" i="2"/>
  <c r="I25" i="2"/>
  <c r="H25" i="2"/>
  <c r="G25" i="2"/>
  <c r="F25" i="2"/>
  <c r="E25" i="2"/>
  <c r="Q25" i="2" s="1"/>
  <c r="D25" i="2"/>
  <c r="N24" i="2"/>
  <c r="M24" i="2"/>
  <c r="J24" i="2"/>
  <c r="I24" i="2"/>
  <c r="H24" i="2"/>
  <c r="G24" i="2"/>
  <c r="F24" i="2"/>
  <c r="E24" i="2"/>
  <c r="Q24" i="2" s="1"/>
  <c r="D24" i="2"/>
  <c r="N23" i="2"/>
  <c r="M23" i="2"/>
  <c r="J23" i="2"/>
  <c r="I23" i="2"/>
  <c r="H23" i="2"/>
  <c r="G23" i="2"/>
  <c r="F23" i="2"/>
  <c r="E23" i="2"/>
  <c r="Q23" i="2" s="1"/>
  <c r="D23" i="2"/>
  <c r="Q22" i="2"/>
  <c r="J21" i="2"/>
  <c r="I21" i="2"/>
  <c r="H21" i="2"/>
  <c r="F21" i="2"/>
  <c r="E21" i="2"/>
  <c r="D21" i="2"/>
  <c r="Q21" i="2" s="1"/>
  <c r="L20" i="2"/>
  <c r="K20" i="2"/>
  <c r="J20" i="2"/>
  <c r="I20" i="2"/>
  <c r="H20" i="2"/>
  <c r="F20" i="2"/>
  <c r="E20" i="2"/>
  <c r="D20" i="2"/>
  <c r="Q20" i="2" s="1"/>
  <c r="Q19" i="2"/>
  <c r="P18" i="2"/>
  <c r="O18" i="2"/>
  <c r="N18" i="2"/>
  <c r="M18" i="2"/>
  <c r="J18" i="2"/>
  <c r="I18" i="2"/>
  <c r="H18" i="2"/>
  <c r="G18" i="2"/>
  <c r="Q18" i="2" s="1"/>
  <c r="F18" i="2"/>
  <c r="E18" i="2"/>
  <c r="D18" i="2"/>
  <c r="N17" i="2"/>
  <c r="M17" i="2"/>
  <c r="L17" i="2"/>
  <c r="K17" i="2"/>
  <c r="J17" i="2"/>
  <c r="I17" i="2"/>
  <c r="H17" i="2"/>
  <c r="G17" i="2"/>
  <c r="Q17" i="2" s="1"/>
  <c r="F17" i="2"/>
  <c r="E17" i="2"/>
  <c r="D17" i="2"/>
  <c r="N16" i="2"/>
  <c r="M16" i="2"/>
  <c r="L16" i="2"/>
  <c r="K16" i="2"/>
  <c r="J16" i="2"/>
  <c r="I16" i="2"/>
  <c r="H16" i="2"/>
  <c r="G16" i="2"/>
  <c r="Q16" i="2" s="1"/>
  <c r="F16" i="2"/>
  <c r="E16" i="2"/>
  <c r="D16" i="2"/>
  <c r="N15" i="2"/>
  <c r="M15" i="2"/>
  <c r="L15" i="2"/>
  <c r="K15" i="2"/>
  <c r="J15" i="2"/>
  <c r="I15" i="2"/>
  <c r="H15" i="2"/>
  <c r="G15" i="2"/>
  <c r="Q15" i="2" s="1"/>
  <c r="F15" i="2"/>
  <c r="E15" i="2"/>
  <c r="D15" i="2"/>
  <c r="L14" i="2"/>
  <c r="K14" i="2"/>
  <c r="J14" i="2"/>
  <c r="I14" i="2"/>
  <c r="H14" i="2"/>
  <c r="G14" i="2"/>
  <c r="F14" i="2"/>
  <c r="E14" i="2"/>
  <c r="D14" i="2"/>
  <c r="N13" i="2"/>
  <c r="M13" i="2"/>
  <c r="L13" i="2"/>
  <c r="K13" i="2"/>
  <c r="J13" i="2"/>
  <c r="I13" i="2"/>
  <c r="H13" i="2"/>
  <c r="G13" i="2"/>
  <c r="F13" i="2"/>
  <c r="E13" i="2"/>
  <c r="D13" i="2"/>
  <c r="Q13" i="2" s="1"/>
  <c r="N12" i="2"/>
  <c r="M12" i="2"/>
  <c r="L12" i="2"/>
  <c r="K12" i="2"/>
  <c r="J12" i="2"/>
  <c r="I12" i="2"/>
  <c r="H12" i="2"/>
  <c r="G12" i="2"/>
  <c r="F12" i="2"/>
  <c r="E12" i="2"/>
  <c r="D12" i="2"/>
  <c r="Q12" i="2" s="1"/>
  <c r="N11" i="2"/>
  <c r="M11" i="2"/>
  <c r="J11" i="2"/>
  <c r="J30" i="2" s="1"/>
  <c r="I11" i="2"/>
  <c r="H11" i="2"/>
  <c r="G11" i="2"/>
  <c r="F11" i="2"/>
  <c r="F30" i="2" s="1"/>
  <c r="E11" i="2"/>
  <c r="D11" i="2"/>
  <c r="Q11" i="2" s="1"/>
  <c r="M10" i="2"/>
  <c r="L10" i="2"/>
  <c r="K10" i="2"/>
  <c r="J10" i="2"/>
  <c r="I10" i="2"/>
  <c r="H10" i="2"/>
  <c r="G10" i="2"/>
  <c r="F10" i="2"/>
  <c r="E10" i="2"/>
  <c r="D10" i="2"/>
  <c r="Q10" i="2" s="1"/>
  <c r="P9" i="2"/>
  <c r="P30" i="2" s="1"/>
  <c r="O9" i="2"/>
  <c r="O30" i="2" s="1"/>
  <c r="N9" i="2"/>
  <c r="N30" i="2" s="1"/>
  <c r="M9" i="2"/>
  <c r="M30" i="2" s="1"/>
  <c r="J9" i="2"/>
  <c r="I9" i="2"/>
  <c r="H9" i="2"/>
  <c r="G9" i="2"/>
  <c r="F9" i="2"/>
  <c r="E9" i="2"/>
  <c r="Q9" i="2" s="1"/>
  <c r="D9" i="2"/>
  <c r="K8" i="2"/>
  <c r="I8" i="2"/>
  <c r="E8" i="2"/>
  <c r="D8" i="2"/>
  <c r="Q8" i="2" s="1"/>
  <c r="L7" i="2"/>
  <c r="L30" i="2" s="1"/>
  <c r="K7" i="2"/>
  <c r="J7" i="2"/>
  <c r="I7" i="2"/>
  <c r="H7" i="2"/>
  <c r="H30" i="2" s="1"/>
  <c r="G7" i="2"/>
  <c r="F7" i="2"/>
  <c r="E7" i="2"/>
  <c r="D7" i="2"/>
  <c r="Q7" i="2" s="1"/>
  <c r="Q6" i="2"/>
  <c r="L5" i="2"/>
  <c r="K5" i="2"/>
  <c r="K30" i="2" s="1"/>
  <c r="J5" i="2"/>
  <c r="I5" i="2"/>
  <c r="H5" i="2"/>
  <c r="G5" i="2"/>
  <c r="F5" i="2"/>
  <c r="E5" i="2"/>
  <c r="Q5" i="2" s="1"/>
  <c r="D5" i="2"/>
  <c r="J4" i="2"/>
  <c r="I4" i="2"/>
  <c r="H4" i="2"/>
  <c r="G4" i="2"/>
  <c r="Q4" i="2" s="1"/>
  <c r="F4" i="2"/>
  <c r="E4" i="2"/>
  <c r="D4" i="2"/>
  <c r="J3" i="2"/>
  <c r="I3" i="2"/>
  <c r="H3" i="2"/>
  <c r="G3" i="2"/>
  <c r="Q3" i="2" s="1"/>
  <c r="F3" i="2"/>
  <c r="E3" i="2"/>
  <c r="D3" i="2"/>
  <c r="J2" i="2"/>
  <c r="I2" i="2"/>
  <c r="I30" i="2" s="1"/>
  <c r="H2" i="2"/>
  <c r="G2" i="2"/>
  <c r="G30" i="2" s="1"/>
  <c r="F2" i="2"/>
  <c r="E2" i="2"/>
  <c r="E30" i="2" s="1"/>
  <c r="D2" i="2"/>
  <c r="D50" i="1"/>
  <c r="E33" i="2" s="1"/>
  <c r="E35" i="1"/>
  <c r="E45" i="1" s="1"/>
  <c r="D35" i="1"/>
  <c r="F35" i="1" s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5" i="1"/>
  <c r="F14" i="1"/>
  <c r="F13" i="1"/>
  <c r="D12" i="1"/>
  <c r="D45" i="1" s="1"/>
  <c r="F11" i="1"/>
  <c r="F10" i="1"/>
  <c r="F9" i="1"/>
  <c r="F8" i="1"/>
  <c r="F6" i="1"/>
  <c r="F5" i="1"/>
  <c r="F3" i="1"/>
  <c r="D51" i="1" l="1"/>
  <c r="E34" i="2" s="1"/>
  <c r="F12" i="1"/>
  <c r="D30" i="2"/>
  <c r="Q2" i="2"/>
  <c r="Q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tc={8FE61067-474E-4C2C-B8FA-B63525C7D4C0}</author>
    <author>tc={C735EA4E-AEB8-4F18-9010-F4E57CCE6EDB}</author>
    <author>tc={8F4A8C47-CB74-4C91-8365-B45CB30F5C46}</author>
    <author>tc={80B209DE-69A8-4AF7-87E5-DA3A5D9D4BCF}</author>
    <author>tc={6CCFF27A-06FA-465A-A09A-6A693EABBD07}</author>
  </authors>
  <commentList>
    <comment ref="J5" authorId="0" shapeId="0" xr:uid="{8FE61067-474E-4C2C-B8FA-B63525C7D4C0}">
      <text>
        <t>[對話串註解]
您的 Excel 版本可讓您讀取此對話串註解; 但若以較新的 Excel 版本開啟此檔案，將會移除對它進行的所有編輯。深入了解: https://go.microsoft.com/fwlink/?linkid=870924。
註解:
    storage、server*1</t>
      </text>
    </comment>
    <comment ref="J6" authorId="1" shapeId="0" xr:uid="{C735EA4E-AEB8-4F18-9010-F4E57CCE6EDB}">
      <text>
        <t>[對話串註解]
您的 Excel 版本可讓您讀取此對話串註解; 但若以較新的 Excel 版本開啟此檔案，將會移除對它進行的所有編輯。深入了解: https://go.microsoft.com/fwlink/?linkid=870924。
註解:
    王總</t>
      </text>
    </comment>
    <comment ref="K6" authorId="2" shapeId="0" xr:uid="{8F4A8C47-CB74-4C91-8365-B45CB30F5C46}">
      <text>
        <t>[對話串註解]
您的 Excel 版本可讓您讀取此對話串註解; 但若以較新的 Excel 版本開啟此檔案，將會移除對它進行的所有編輯。深入了解: https://go.microsoft.com/fwlink/?linkid=870924。
註解:
    蘇協理</t>
      </text>
    </comment>
    <comment ref="L6" authorId="3" shapeId="0" xr:uid="{80B209DE-69A8-4AF7-87E5-DA3A5D9D4BCF}">
      <text>
        <t>[對話串註解]
您的 Excel 版本可讓您讀取此對話串註解; 但若以較新的 Excel 版本開啟此檔案，將會移除對它進行的所有編輯。深入了解: https://go.microsoft.com/fwlink/?linkid=870924。
註解:
    3C週邊、線材</t>
      </text>
    </comment>
    <comment ref="J18" authorId="4" shapeId="0" xr:uid="{6CCFF27A-06FA-465A-A09A-6A693EABBD07}">
      <text>
        <t>[對話串註解]
您的 Excel 版本可讓您讀取此對話串註解; 但若以較新的 Excel 版本開啟此檔案，將會移除對它進行的所有編輯。深入了解: https://go.microsoft.com/fwlink/?linkid=870924。
註解:
    autoCAD</t>
      </text>
    </comment>
  </commentList>
</comments>
</file>

<file path=xl/sharedStrings.xml><?xml version="1.0" encoding="utf-8"?>
<sst xmlns="http://schemas.openxmlformats.org/spreadsheetml/2006/main" count="281" uniqueCount="208">
  <si>
    <t>項目</t>
    <phoneticPr fontId="4" type="noConversion"/>
  </si>
  <si>
    <t>2024預算</t>
  </si>
  <si>
    <t>2023預算</t>
  </si>
  <si>
    <t>差異</t>
    <phoneticPr fontId="4" type="noConversion"/>
  </si>
  <si>
    <t>2024年說明</t>
  </si>
  <si>
    <t>2023年實際</t>
  </si>
  <si>
    <t>固定維護支出</t>
  </si>
  <si>
    <t>硬體</t>
    <phoneticPr fontId="4" type="noConversion"/>
  </si>
  <si>
    <t>維護合約(防火牆)</t>
  </si>
  <si>
    <t>*總部、各廠共同攤分(Total:100000)</t>
  </si>
  <si>
    <t>維護合約(無線AP)</t>
  </si>
  <si>
    <t>總處-6、7樓</t>
  </si>
  <si>
    <t>維護合約(主機)</t>
  </si>
  <si>
    <t xml:space="preserve">電腦、筆電更新 </t>
  </si>
  <si>
    <t>分批汰換</t>
  </si>
  <si>
    <t>資訊設備維護費</t>
  </si>
  <si>
    <t>涵蓋總處、各廠、達清、達技-資訊設備維運費用
(*採購置維護商-點數150點-100萬，攤至各廠使用)</t>
  </si>
  <si>
    <r>
      <t>伺服器設備汰換更新</t>
    </r>
    <r>
      <rPr>
        <sz val="12"/>
        <color rgb="FFFF0000"/>
        <rFont val="新細明體"/>
        <family val="2"/>
        <scheme val="minor"/>
      </rPr>
      <t xml:space="preserve"> (Capex)</t>
    </r>
  </si>
  <si>
    <t>軟體-修改</t>
  </si>
  <si>
    <t>營運報表系統</t>
  </si>
  <si>
    <t>會計、費用系統</t>
  </si>
  <si>
    <t>*會計:
總處認列-276,676;
其餘268,964(由台中、嘉義、永康、宜蘭、八里、新店、樹林、仁武及鹿草分擔)</t>
  </si>
  <si>
    <t>公文系統</t>
  </si>
  <si>
    <t>*總部、各廠共同攤分</t>
  </si>
  <si>
    <t>軟體-維護</t>
  </si>
  <si>
    <t>*總部、各廠共同攤分(Total:120000)</t>
  </si>
  <si>
    <t>UIPath(RPA)</t>
  </si>
  <si>
    <t>Total:305,250 ，由總處、各廠共同攤分</t>
  </si>
  <si>
    <t>人事薪資系統</t>
  </si>
  <si>
    <t>Total:327,135 ，由總處、各廠共同攤分</t>
  </si>
  <si>
    <t>2023年新購(Totla:393,750/年)，由總處+9廠攤</t>
  </si>
  <si>
    <t>微軟-授權系統
Exchange online+Office365</t>
  </si>
  <si>
    <r>
      <t xml:space="preserve">逐漸將單機端服務移至 office 365
</t>
    </r>
    <r>
      <rPr>
        <sz val="12"/>
        <rFont val="新細明體"/>
        <family val="2"/>
        <scheme val="minor"/>
      </rPr>
      <t>總處-2023年
O365 39人 (3520*39)
Exchang online:3 (1221*3)
推算2024-增加人數、購買價</t>
    </r>
  </si>
  <si>
    <t>雲端服務</t>
  </si>
  <si>
    <t xml:space="preserve">Veolia Account </t>
    <phoneticPr fontId="4" type="noConversion"/>
  </si>
  <si>
    <r>
      <t xml:space="preserve">Veolia Account 82300元（34.6歐*120人/年)
</t>
    </r>
    <r>
      <rPr>
        <sz val="12"/>
        <color rgb="FFFF0000"/>
        <rFont val="微軟正黑體"/>
        <charset val="136"/>
      </rPr>
      <t>*2023/04-產生: 253463</t>
    </r>
  </si>
  <si>
    <t>雲端  Azure DNS  服務</t>
    <phoneticPr fontId="4" type="noConversion"/>
  </si>
  <si>
    <t>雲端  Azure AD  服務</t>
    <phoneticPr fontId="4" type="noConversion"/>
  </si>
  <si>
    <t>180*430*12=928,800(430個user一年的費用)，總處-70U=151,200</t>
  </si>
  <si>
    <t>雲端虛擬主機空間</t>
    <phoneticPr fontId="4" type="noConversion"/>
  </si>
  <si>
    <t>雲端服務使用費用(7萬*12月)</t>
  </si>
  <si>
    <t>雲端維護費</t>
  </si>
  <si>
    <t>*總部、各廠(不含嘉義、台中)、達清共同攤分，
Total:800,000
*上水獨立</t>
  </si>
  <si>
    <t>資訊安全</t>
  </si>
  <si>
    <t>軟體</t>
  </si>
  <si>
    <t>防毒軟體授權服務費用</t>
    <phoneticPr fontId="4" type="noConversion"/>
  </si>
  <si>
    <t xml:space="preserve">備份軟體授權服務費用 </t>
    <phoneticPr fontId="4" type="noConversion"/>
  </si>
  <si>
    <t>異地備份費用</t>
    <phoneticPr fontId="4" type="noConversion"/>
  </si>
  <si>
    <t xml:space="preserve">EDR 監控系統 </t>
  </si>
  <si>
    <t>1U-$1500，依照各廠費用攤提(總處-70U)</t>
  </si>
  <si>
    <t>網路可視化</t>
  </si>
  <si>
    <t>SD-WAN，依照各廠費用攤提(總處-10萬)</t>
  </si>
  <si>
    <t>資產管理系統</t>
  </si>
  <si>
    <t>資產管理(e.g Pacth、GPO)</t>
  </si>
  <si>
    <t>SSL 加密憑證 (2年)</t>
    <phoneticPr fontId="4" type="noConversion"/>
  </si>
  <si>
    <t>硬體</t>
  </si>
  <si>
    <r>
      <t xml:space="preserve">監控數據儲存設備  </t>
    </r>
    <r>
      <rPr>
        <sz val="12"/>
        <color rgb="FFFF0000"/>
        <rFont val="新細明體"/>
        <family val="2"/>
        <scheme val="minor"/>
      </rPr>
      <t>Capex</t>
    </r>
  </si>
  <si>
    <t>SIEM</t>
  </si>
  <si>
    <r>
      <t xml:space="preserve">監控分析設備 </t>
    </r>
    <r>
      <rPr>
        <sz val="12"/>
        <color rgb="FFFF0000"/>
        <rFont val="新細明體"/>
        <family val="2"/>
        <scheme val="minor"/>
      </rPr>
      <t>(OPEX)</t>
    </r>
  </si>
  <si>
    <t>依照各廠費用攤提(總處-10萬)</t>
  </si>
  <si>
    <t>教育訓練</t>
  </si>
  <si>
    <t>教育訓練費用</t>
  </si>
  <si>
    <t>總處-分擔10萬，其餘由各廠分擔(見"拆分至各廠)</t>
  </si>
  <si>
    <t>資訊安全服務</t>
  </si>
  <si>
    <t>資安技術(顧問)服務費用</t>
    <phoneticPr fontId="4" type="noConversion"/>
  </si>
  <si>
    <t>含入現有狀況評估顧問服務(共150萬，共同分擔)</t>
  </si>
  <si>
    <t>*需攤分到各廠</t>
  </si>
  <si>
    <t>滲透測試/弱點掃描</t>
  </si>
  <si>
    <t>(共150萬，共同分擔)</t>
  </si>
  <si>
    <t>災難復原演練</t>
  </si>
  <si>
    <t>災難復原</t>
  </si>
  <si>
    <t>策略發展</t>
  </si>
  <si>
    <t>系統雲端化</t>
    <phoneticPr fontId="4" type="noConversion"/>
  </si>
  <si>
    <t>功能系統移轉雲端費用</t>
    <phoneticPr fontId="4" type="noConversion"/>
  </si>
  <si>
    <t>大數據雲端整合平台</t>
  </si>
  <si>
    <r>
      <t xml:space="preserve">整合平台建置 </t>
    </r>
    <r>
      <rPr>
        <sz val="12"/>
        <color rgb="FFFF0000"/>
        <rFont val="新細明體"/>
        <family val="1"/>
        <charset val="136"/>
        <scheme val="minor"/>
      </rPr>
      <t xml:space="preserve"> (Capex)</t>
    </r>
  </si>
  <si>
    <t>第二年度費用暫訂(*需視訪談-單位各自需求)</t>
  </si>
  <si>
    <r>
      <t xml:space="preserve">整合平台建置 </t>
    </r>
    <r>
      <rPr>
        <sz val="12"/>
        <color rgb="FFFF0000"/>
        <rFont val="新細明體"/>
        <family val="1"/>
        <charset val="136"/>
        <scheme val="minor"/>
      </rPr>
      <t xml:space="preserve"> (OPEX)</t>
    </r>
  </si>
  <si>
    <r>
      <t>GCP費用初估約 (1969.47 USD/ 月+維護費用為 15%)*12月=</t>
    </r>
    <r>
      <rPr>
        <sz val="12"/>
        <color rgb="FFFF0000"/>
        <rFont val="新細明體"/>
        <family val="2"/>
        <scheme val="minor"/>
      </rPr>
      <t>815360</t>
    </r>
    <r>
      <rPr>
        <sz val="12"/>
        <color theme="1"/>
        <rFont val="新細明體"/>
        <family val="1"/>
        <charset val="136"/>
        <scheme val="minor"/>
      </rPr>
      <t xml:space="preserve">
</t>
    </r>
    <r>
      <rPr>
        <sz val="12"/>
        <color rgb="FFFF0000"/>
        <rFont val="新細明體"/>
        <family val="2"/>
        <scheme val="minor"/>
      </rPr>
      <t>*總處-分擔10萬，其餘由各廠分擔</t>
    </r>
  </si>
  <si>
    <t>數位化轉型</t>
  </si>
  <si>
    <t>流程系統</t>
  </si>
  <si>
    <t>數位化流程(初估費用)</t>
  </si>
  <si>
    <r>
      <t xml:space="preserve">採購維修系統更換 </t>
    </r>
    <r>
      <rPr>
        <sz val="12"/>
        <color rgb="FFFF0000"/>
        <rFont val="新細明體"/>
        <family val="2"/>
        <scheme val="minor"/>
      </rPr>
      <t>(Capex)</t>
    </r>
  </si>
  <si>
    <t>Capex</t>
    <phoneticPr fontId="4" type="noConversion"/>
  </si>
  <si>
    <t>Opex</t>
    <phoneticPr fontId="4" type="noConversion"/>
  </si>
  <si>
    <t>新店廠</t>
  </si>
  <si>
    <t>樹林廠</t>
  </si>
  <si>
    <t>鹿草廠</t>
  </si>
  <si>
    <t>仁武廠</t>
  </si>
  <si>
    <t>永康廠</t>
  </si>
  <si>
    <t>利澤廠</t>
  </si>
  <si>
    <t>八里廠</t>
  </si>
  <si>
    <t>嘉義廠</t>
  </si>
  <si>
    <t>台中廠</t>
  </si>
  <si>
    <t>達清</t>
  </si>
  <si>
    <t>上水</t>
  </si>
  <si>
    <t>大發</t>
  </si>
  <si>
    <t>達技</t>
  </si>
  <si>
    <t>Total</t>
  </si>
  <si>
    <t>資訊</t>
  </si>
  <si>
    <t>修改</t>
  </si>
  <si>
    <t>自收業務系統  軟體修改費用</t>
    <phoneticPr fontId="4" type="noConversion"/>
  </si>
  <si>
    <t>營運報表系統  軟體修改費用</t>
    <phoneticPr fontId="4" type="noConversion"/>
  </si>
  <si>
    <t>維護</t>
  </si>
  <si>
    <t>營運報表系統維護費</t>
  </si>
  <si>
    <t>會計系統 維護費</t>
  </si>
  <si>
    <t>人事薪資系統維護費</t>
  </si>
  <si>
    <t>公文系統維護費</t>
  </si>
  <si>
    <t>串接-政府公文系統費用</t>
  </si>
  <si>
    <t>IT設備維護費</t>
  </si>
  <si>
    <t>雲端空間維護費</t>
  </si>
  <si>
    <t>新購</t>
  </si>
  <si>
    <t>採購維修系統</t>
  </si>
  <si>
    <t>授權服務</t>
  </si>
  <si>
    <t>應用軟體購置費用
包含Office365+Exchange online</t>
    <phoneticPr fontId="4" type="noConversion"/>
  </si>
  <si>
    <t>雲端  Azure AD  服務(含雙因子驗證)</t>
  </si>
  <si>
    <t>UiPath-軟體使用費</t>
  </si>
  <si>
    <t>資安</t>
  </si>
  <si>
    <t>EDR 監控系統</t>
  </si>
  <si>
    <t>資產管理</t>
  </si>
  <si>
    <t>硬體-IT</t>
  </si>
  <si>
    <t>防火牆-(IT)</t>
  </si>
  <si>
    <t>監控數據儲存設備</t>
  </si>
  <si>
    <t>硬體-OT</t>
  </si>
  <si>
    <t>防火牆-(OT)</t>
  </si>
  <si>
    <t>U-2484維護</t>
  </si>
  <si>
    <t>數位化</t>
  </si>
  <si>
    <t>Total OPEX 2023</t>
    <phoneticPr fontId="4" type="noConversion"/>
  </si>
  <si>
    <t>Capex HO</t>
    <phoneticPr fontId="4" type="noConversion"/>
  </si>
  <si>
    <t>Opex HO</t>
    <phoneticPr fontId="4" type="noConversion"/>
  </si>
  <si>
    <t>支出追蹤小計</t>
    <phoneticPr fontId="4" type="noConversion"/>
  </si>
  <si>
    <r>
      <t>自收業務系統</t>
    </r>
    <r>
      <rPr>
        <sz val="12"/>
        <color rgb="FFFF0000"/>
        <rFont val="新細明體"/>
        <family val="1"/>
        <charset val="136"/>
        <scheme val="minor"/>
      </rPr>
      <t>修改</t>
    </r>
    <r>
      <rPr>
        <sz val="12"/>
        <color theme="1"/>
        <rFont val="新細明體"/>
        <family val="1"/>
        <charset val="136"/>
        <scheme val="minor"/>
      </rPr>
      <t>費用</t>
    </r>
    <phoneticPr fontId="4" type="noConversion"/>
  </si>
  <si>
    <r>
      <t>營運報表系統</t>
    </r>
    <r>
      <rPr>
        <sz val="12"/>
        <color rgb="FFFF0000"/>
        <rFont val="新細明體"/>
        <family val="1"/>
        <charset val="136"/>
        <scheme val="minor"/>
      </rPr>
      <t>修改</t>
    </r>
    <r>
      <rPr>
        <sz val="12"/>
        <color theme="1"/>
        <rFont val="新細明體"/>
        <family val="1"/>
        <charset val="136"/>
        <scheme val="minor"/>
      </rPr>
      <t>費用</t>
    </r>
    <phoneticPr fontId="4" type="noConversion"/>
  </si>
  <si>
    <t>*修改費用總部編列(*由各廠共同攤分)</t>
    <phoneticPr fontId="4" type="noConversion"/>
  </si>
  <si>
    <t>自收業務系統</t>
    <phoneticPr fontId="4" type="noConversion"/>
  </si>
  <si>
    <t>各廠自行編列(本預算無列入)</t>
    <phoneticPr fontId="4" type="noConversion"/>
  </si>
  <si>
    <t>單位：</t>
    <phoneticPr fontId="4" type="noConversion"/>
  </si>
  <si>
    <t>2024 採購項目</t>
    <phoneticPr fontId="4" type="noConversion"/>
  </si>
  <si>
    <t>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</si>
  <si>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</si>
  <si>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</si>
  <si>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</si>
  <si>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</si>
  <si>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</si>
  <si>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</si>
  <si>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</si>
  <si>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</si>
  <si>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</si>
  <si>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</si>
  <si>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</si>
  <si>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r>
      <t>訂閱制 
  (硬體、軟體)
排</t>
    </r>
    <r>
      <rPr>
        <sz val="12"/>
        <color rgb="FFFF0000"/>
        <rFont val="微軟正黑體"/>
        <family val="2"/>
        <charset val="136"/>
      </rPr>
      <t>到期</t>
    </r>
    <r>
      <rPr>
        <sz val="12"/>
        <rFont val="微軟正黑體"/>
        <family val="2"/>
        <charset val="136"/>
      </rPr>
      <t>時間
(例如防火牆、Office365等)</t>
    </r>
    <phoneticPr fontId="4" type="noConversion"/>
  </si>
  <si>
    <t>鹿草</t>
  </si>
  <si>
    <t>DCS數據防火牆</t>
    <phoneticPr fontId="4" type="noConversion"/>
  </si>
  <si>
    <t>DCS報表防火牆</t>
    <phoneticPr fontId="4" type="noConversion"/>
  </si>
  <si>
    <t>美術編輯軟體</t>
    <phoneticPr fontId="4" type="noConversion"/>
  </si>
  <si>
    <t>上水</t>
    <phoneticPr fontId="4" type="noConversion"/>
  </si>
  <si>
    <t>OFFF365續約 (與達和非同時期)</t>
    <phoneticPr fontId="4" type="noConversion"/>
  </si>
  <si>
    <t>宜蘭</t>
    <phoneticPr fontId="4" type="noConversion"/>
  </si>
  <si>
    <t>Adobe Acrobat</t>
    <phoneticPr fontId="4" type="noConversion"/>
  </si>
  <si>
    <t>達清</t>
    <phoneticPr fontId="4" type="noConversion"/>
  </si>
  <si>
    <t>電腦防毒年度費用 10/31 前續約</t>
    <phoneticPr fontId="4" type="noConversion"/>
  </si>
  <si>
    <t>仁武</t>
    <phoneticPr fontId="4" type="noConversion"/>
  </si>
  <si>
    <t>Aspen IP21 for DCS (操作)</t>
    <phoneticPr fontId="4" type="noConversion"/>
  </si>
  <si>
    <t>總處</t>
    <phoneticPr fontId="4" type="noConversion"/>
  </si>
  <si>
    <t>Acronis 備份軟體續約</t>
    <phoneticPr fontId="4" type="noConversion"/>
  </si>
  <si>
    <t>防火牆授權 ( Forti 201E UTP授權 9/17)</t>
    <phoneticPr fontId="4" type="noConversion"/>
  </si>
  <si>
    <t>所有外點</t>
    <phoneticPr fontId="4" type="noConversion"/>
  </si>
  <si>
    <t>廠辦Forti防火牆UTP授權及維護合約</t>
    <phoneticPr fontId="4" type="noConversion"/>
  </si>
  <si>
    <t>全集團</t>
    <phoneticPr fontId="4" type="noConversion"/>
  </si>
  <si>
    <t>OFFICE 365、ExchangeOnline續約</t>
    <phoneticPr fontId="4" type="noConversion"/>
  </si>
  <si>
    <t>全集團含上水</t>
    <phoneticPr fontId="4" type="noConversion"/>
  </si>
  <si>
    <t>CrowdStrike EDR防護</t>
    <phoneticPr fontId="4" type="noConversion"/>
  </si>
  <si>
    <r>
      <t>資訊設備
(電腦、網路)
排</t>
    </r>
    <r>
      <rPr>
        <sz val="12"/>
        <color rgb="FFFF0000"/>
        <rFont val="微軟正黑體"/>
        <family val="2"/>
        <charset val="136"/>
      </rPr>
      <t>汰換</t>
    </r>
    <r>
      <rPr>
        <sz val="12"/>
        <rFont val="微軟正黑體"/>
        <family val="2"/>
        <charset val="136"/>
      </rPr>
      <t>時間</t>
    </r>
    <phoneticPr fontId="4" type="noConversion"/>
  </si>
  <si>
    <t>電腦汰換</t>
    <phoneticPr fontId="4" type="noConversion"/>
  </si>
  <si>
    <t>永康</t>
    <phoneticPr fontId="4" type="noConversion"/>
  </si>
  <si>
    <t>五台電腦更新</t>
    <phoneticPr fontId="4" type="noConversion"/>
  </si>
  <si>
    <t>六堵電腦主機WIN7汰換</t>
    <phoneticPr fontId="4" type="noConversion"/>
  </si>
  <si>
    <t>電腦(固化、地磅)</t>
    <phoneticPr fontId="4" type="noConversion"/>
  </si>
  <si>
    <t>辦公司電腦汰換</t>
    <phoneticPr fontId="4" type="noConversion"/>
  </si>
  <si>
    <t>新店</t>
    <phoneticPr fontId="4" type="noConversion"/>
  </si>
  <si>
    <r>
      <t>保固、維護合約  
(金鑰、憑證、
網站維護、
設備維護、
技術支援、
硬體保固)
排</t>
    </r>
    <r>
      <rPr>
        <sz val="12"/>
        <color rgb="FFFF0000"/>
        <rFont val="微軟正黑體"/>
        <family val="2"/>
        <charset val="136"/>
      </rPr>
      <t>到期</t>
    </r>
    <r>
      <rPr>
        <sz val="12"/>
        <rFont val="微軟正黑體"/>
        <family val="2"/>
        <charset val="136"/>
      </rPr>
      <t>時間</t>
    </r>
    <phoneticPr fontId="4" type="noConversion"/>
  </si>
  <si>
    <t>電腦設備維護合約</t>
    <phoneticPr fontId="4" type="noConversion"/>
  </si>
  <si>
    <t>網頁公司維護</t>
    <phoneticPr fontId="4" type="noConversion"/>
  </si>
  <si>
    <t>HBB升級費用</t>
    <phoneticPr fontId="4" type="noConversion"/>
  </si>
  <si>
    <t>資訊維護合約</t>
    <phoneticPr fontId="4" type="noConversion"/>
  </si>
  <si>
    <t>捷凱維護合約費用</t>
  </si>
  <si>
    <t>智將業務系統維護合約</t>
    <phoneticPr fontId="4" type="noConversion"/>
  </si>
  <si>
    <t>SSL加密憑證</t>
    <phoneticPr fontId="4" type="noConversion"/>
  </si>
  <si>
    <t>網域名稱租賃</t>
    <phoneticPr fontId="4" type="noConversion"/>
  </si>
  <si>
    <t>總處</t>
  </si>
  <si>
    <t>防火牆及核心路由器、無線AP維護合約</t>
    <phoneticPr fontId="4" type="noConversion"/>
  </si>
  <si>
    <t xml:space="preserve"> IBM Server延長保固續約 (2/28)</t>
    <phoneticPr fontId="4" type="noConversion"/>
  </si>
  <si>
    <t>雲端維護合約</t>
    <phoneticPr fontId="4" type="noConversion"/>
  </si>
  <si>
    <t>資安顧問、滲透測試、弱點掃描</t>
    <phoneticPr fontId="4" type="noConversion"/>
  </si>
  <si>
    <t>採購、維修系統汰換(Capex)</t>
    <phoneticPr fontId="4" type="noConversion"/>
  </si>
  <si>
    <t>開始</t>
    <phoneticPr fontId="4" type="noConversion"/>
  </si>
  <si>
    <t>大數據整合平台(Capex)</t>
    <phoneticPr fontId="4" type="noConversion"/>
  </si>
  <si>
    <t>資安監控數據儲存設備及分析(Capex)</t>
    <phoneticPr fontId="4" type="noConversion"/>
  </si>
  <si>
    <t>集團各廠</t>
    <phoneticPr fontId="4" type="noConversion"/>
  </si>
  <si>
    <t>自收業務及營運報表系統　年度維護合約</t>
    <phoneticPr fontId="4" type="noConversion"/>
  </si>
  <si>
    <t>ERP維護合約</t>
    <phoneticPr fontId="4" type="noConversion"/>
  </si>
  <si>
    <t>公文系統維護合約</t>
    <phoneticPr fontId="4" type="noConversion"/>
  </si>
  <si>
    <t>RPA平台授權費</t>
    <phoneticPr fontId="4" type="noConversion"/>
  </si>
  <si>
    <t>人事系統維護合約</t>
    <phoneticPr fontId="4" type="noConversion"/>
  </si>
  <si>
    <t>會計系統維護合約</t>
    <phoneticPr fontId="4" type="noConversion"/>
  </si>
  <si>
    <t>ERP維護合約費用</t>
    <phoneticPr fontId="4" type="noConversion"/>
  </si>
  <si>
    <t>Veolia Account帳號(等待VE出帳單)</t>
    <phoneticPr fontId="4" type="noConversion"/>
  </si>
  <si>
    <t>加底色的儲存格是原本預計採購的時間，請各位填入支出的金額(未稅)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</si>
</sst>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#,##0_ ;[Red]\-#,##0\ "/>
    <numFmt numFmtId="177" formatCode="_-* #,##0_-;\-* #,##0_-;_-* &quot;-&quot;??_-;_-@_-"/>
    <numFmt numFmtId="178" formatCode="#,##0_ "/>
    <numFmt numFmtId="179" formatCode="_(* #,##0.00_);_(* \(#,##0.00\);_(* &quot;-&quot;??_);_(@_)"/>
    <numFmt numFmtId="180" formatCode="_(* #,##0_);_(* \(#,##0\);_(* &quot;-&quot;??_);_(@_)"/>
  </numFmts>
  <fonts count="2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2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2"/>
      <scheme val="minor"/>
    </font>
    <font>
      <sz val="12"/>
      <name val="微軟正黑體"/>
      <family val="2"/>
      <charset val="136"/>
    </font>
    <font>
      <sz val="12"/>
      <color rgb="FFFF0000"/>
      <name val="微軟正黑體"/>
      <charset val="136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新細明體"/>
      <family val="2"/>
      <scheme val="minor"/>
    </font>
    <font>
      <sz val="12"/>
      <color rgb="FF000000"/>
      <name val="新細明體"/>
      <family val="2"/>
      <charset val="136"/>
      <scheme val="minor"/>
    </font>
    <font>
      <sz val="12"/>
      <color rgb="FFFF0000"/>
      <name val="微軟正黑體"/>
      <family val="2"/>
      <charset val="136"/>
    </font>
    <font>
      <sz val="12"/>
      <color theme="1"/>
      <name val="標楷體"/>
      <family val="4"/>
      <charset val="136"/>
    </font>
    <font>
      <u/>
      <sz val="12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u/>
      <sz val="12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/>
    <xf numFmtId="179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0" xfId="0" applyFont="1">
      <alignment vertical="center"/>
    </xf>
    <xf numFmtId="38" fontId="5" fillId="0" borderId="1" xfId="0" applyNumberFormat="1" applyFont="1" applyBorder="1" applyAlignment="1">
      <alignment vertical="center" wrapText="1"/>
    </xf>
    <xf numFmtId="176" fontId="5" fillId="0" borderId="1" xfId="1" applyNumberFormat="1" applyFont="1" applyBorder="1" applyAlignment="1">
      <alignment vertical="center"/>
    </xf>
    <xf numFmtId="176" fontId="3" fillId="0" borderId="1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176" fontId="3" fillId="0" borderId="1" xfId="1" applyNumberFormat="1" applyFont="1" applyBorder="1" applyAlignment="1">
      <alignment horizontal="left" wrapText="1"/>
    </xf>
    <xf numFmtId="176" fontId="5" fillId="3" borderId="1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76" fontId="7" fillId="0" borderId="1" xfId="1" applyNumberFormat="1" applyFont="1" applyBorder="1" applyAlignment="1">
      <alignment horizontal="left" wrapText="1"/>
    </xf>
    <xf numFmtId="14" fontId="9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176" fontId="5" fillId="0" borderId="1" xfId="1" applyNumberFormat="1" applyFont="1" applyFill="1" applyBorder="1" applyAlignment="1">
      <alignment vertical="center"/>
    </xf>
    <xf numFmtId="176" fontId="3" fillId="0" borderId="1" xfId="1" applyNumberFormat="1" applyFont="1" applyBorder="1" applyAlignment="1">
      <alignment horizontal="left" vertical="top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1" applyNumberFormat="1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176" fontId="5" fillId="0" borderId="1" xfId="1" quotePrefix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/>
    </xf>
    <xf numFmtId="176" fontId="5" fillId="3" borderId="1" xfId="1" quotePrefix="1" applyNumberFormat="1" applyFont="1" applyFill="1" applyBorder="1" applyAlignment="1">
      <alignment horizontal="right" vertical="center"/>
    </xf>
    <xf numFmtId="0" fontId="5" fillId="0" borderId="1" xfId="0" applyFont="1" applyBorder="1">
      <alignment vertical="center"/>
    </xf>
    <xf numFmtId="0" fontId="3" fillId="4" borderId="1" xfId="0" applyFont="1" applyFill="1" applyBorder="1" applyAlignment="1">
      <alignment vertical="center" wrapText="1"/>
    </xf>
    <xf numFmtId="176" fontId="5" fillId="4" borderId="1" xfId="1" quotePrefix="1" applyNumberFormat="1" applyFont="1" applyFill="1" applyBorder="1" applyAlignment="1">
      <alignment horizontal="right" vertical="center"/>
    </xf>
    <xf numFmtId="176" fontId="7" fillId="0" borderId="1" xfId="1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76" fontId="7" fillId="0" borderId="1" xfId="1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1" xfId="0" applyFont="1" applyBorder="1">
      <alignment vertical="center"/>
    </xf>
    <xf numFmtId="176" fontId="5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76" fontId="7" fillId="0" borderId="1" xfId="1" applyNumberFormat="1" applyFont="1" applyBorder="1" applyAlignment="1">
      <alignment horizontal="left"/>
    </xf>
    <xf numFmtId="0" fontId="3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77" fontId="3" fillId="0" borderId="0" xfId="0" applyNumberFormat="1" applyFont="1" applyAlignment="1">
      <alignment vertical="center" wrapText="1"/>
    </xf>
    <xf numFmtId="177" fontId="3" fillId="0" borderId="0" xfId="0" applyNumberFormat="1" applyFont="1">
      <alignment vertical="center"/>
    </xf>
    <xf numFmtId="176" fontId="3" fillId="0" borderId="0" xfId="1" applyNumberFormat="1" applyFont="1" applyAlignment="1">
      <alignment horizontal="right" vertical="center"/>
    </xf>
    <xf numFmtId="176" fontId="3" fillId="0" borderId="0" xfId="1" applyNumberFormat="1" applyFont="1" applyAlignment="1">
      <alignment horizontal="left"/>
    </xf>
    <xf numFmtId="0" fontId="3" fillId="0" borderId="0" xfId="0" applyFont="1" applyAlignment="1">
      <alignment horizontal="right" vertical="center" wrapText="1"/>
    </xf>
    <xf numFmtId="176" fontId="3" fillId="3" borderId="0" xfId="0" applyNumberFormat="1" applyFont="1" applyFill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1" fontId="11" fillId="0" borderId="1" xfId="0" applyNumberFormat="1" applyFont="1" applyBorder="1" applyAlignment="1">
      <alignment horizontal="center" vertical="center"/>
    </xf>
    <xf numFmtId="1" fontId="2" fillId="2" borderId="1" xfId="2" applyNumberForma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0" fillId="0" borderId="1" xfId="0" applyBorder="1" applyAlignment="1"/>
    <xf numFmtId="176" fontId="14" fillId="0" borderId="1" xfId="0" applyNumberFormat="1" applyFont="1" applyBorder="1">
      <alignment vertical="center"/>
    </xf>
    <xf numFmtId="176" fontId="15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top"/>
    </xf>
    <xf numFmtId="176" fontId="0" fillId="0" borderId="2" xfId="0" applyNumberFormat="1" applyBorder="1">
      <alignment vertical="center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>
      <alignment vertical="center"/>
    </xf>
    <xf numFmtId="0" fontId="3" fillId="3" borderId="0" xfId="0" applyFont="1" applyFill="1" applyAlignment="1">
      <alignment horizontal="right" vertical="center" wrapText="1"/>
    </xf>
    <xf numFmtId="178" fontId="0" fillId="3" borderId="0" xfId="0" applyNumberFormat="1" applyFill="1">
      <alignment vertical="center"/>
    </xf>
    <xf numFmtId="0" fontId="3" fillId="5" borderId="0" xfId="0" applyFont="1" applyFill="1" applyAlignment="1">
      <alignment horizontal="right" vertical="center" wrapText="1"/>
    </xf>
    <xf numFmtId="178" fontId="0" fillId="5" borderId="0" xfId="0" applyNumberFormat="1" applyFill="1">
      <alignment vertical="center"/>
    </xf>
    <xf numFmtId="1" fontId="0" fillId="0" borderId="0" xfId="0" applyNumberFormat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9" fillId="8" borderId="1" xfId="0" quotePrefix="1" applyFont="1" applyFill="1" applyBorder="1" applyAlignment="1">
      <alignment horizontal="center" vertical="center" wrapText="1"/>
    </xf>
    <xf numFmtId="49" fontId="9" fillId="8" borderId="1" xfId="0" quotePrefix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3" fontId="3" fillId="0" borderId="1" xfId="0" applyNumberFormat="1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left" vertical="top" wrapText="1"/>
    </xf>
    <xf numFmtId="176" fontId="7" fillId="0" borderId="4" xfId="1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7" borderId="1" xfId="0" quotePrefix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49" fontId="9" fillId="7" borderId="1" xfId="0" quotePrefix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180" fontId="0" fillId="0" borderId="1" xfId="3" applyNumberFormat="1" applyFont="1" applyBorder="1" applyAlignment="1" applyProtection="1">
      <alignment horizontal="center" vertical="center"/>
      <protection locked="0"/>
    </xf>
    <xf numFmtId="180" fontId="17" fillId="0" borderId="1" xfId="3" applyNumberFormat="1" applyFont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10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8" borderId="2" xfId="0" applyFont="1" applyFill="1" applyBorder="1" applyAlignment="1">
      <alignment vertical="center" wrapText="1"/>
    </xf>
    <xf numFmtId="0" fontId="21" fillId="8" borderId="3" xfId="0" applyFont="1" applyFill="1" applyBorder="1" applyAlignment="1">
      <alignment vertical="center" wrapText="1"/>
    </xf>
    <xf numFmtId="0" fontId="21" fillId="8" borderId="4" xfId="0" applyFont="1" applyFill="1" applyBorder="1" applyAlignment="1">
      <alignment vertical="center" wrapText="1"/>
    </xf>
  </cellXfs>
  <cellStyles count="4">
    <cellStyle name="一般" xfId="0" builtinId="0"/>
    <cellStyle name="千分位" xfId="1" builtinId="3"/>
    <cellStyle name="千分位 2" xfId="3" xr:uid="{B3F2A8EC-E37F-4F26-B424-DAA2693CE8E9}"/>
    <cellStyle name="中等" xfId="2" builtinId="28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ahotw-my.sharepoint.com/personal/950491_tahoho_com_tw/Documents/&#26700;&#38754;/&#38928;&#31639;&#32232;&#21015;/2024/IT%20capex%20opex-2023-2029&#38928;&#31639;&#34920;(20230809).xlsx" TargetMode="External"/><Relationship Id="rId1" Type="http://schemas.openxmlformats.org/officeDocument/2006/relationships/externalLinkPath" Target="IT%20capex%20opex-2023-2029&#38928;&#31639;&#34920;(2023080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工作表1"/>
      <sheetName val="2022 Budget"/>
      <sheetName val="2022預算"/>
      <sheetName val="2023預算-拆分至各廠"/>
      <sheetName val="2023預算"/>
      <sheetName val="2024預算"/>
      <sheetName val="2024預算-拆分至各廠"/>
      <sheetName val="2025預算"/>
      <sheetName val="2026預算"/>
      <sheetName val="2027預算"/>
      <sheetName val="2028預算"/>
      <sheetName val="2029預算"/>
      <sheetName val="Total"/>
    </sheetNames>
    <sheetDataSet>
      <sheetData sheetId="0"/>
      <sheetData sheetId="1"/>
      <sheetData sheetId="2"/>
      <sheetData sheetId="3"/>
      <sheetData sheetId="4">
        <row r="45">
          <cell r="D45">
            <v>9800000</v>
          </cell>
        </row>
        <row r="46">
          <cell r="D46">
            <v>5400579.4573643412</v>
          </cell>
        </row>
      </sheetData>
      <sheetData sheetId="5"/>
      <sheetData sheetId="6"/>
      <sheetData sheetId="7">
        <row r="45">
          <cell r="D45">
            <v>4500000</v>
          </cell>
        </row>
        <row r="46">
          <cell r="D46">
            <v>13893220.790697671</v>
          </cell>
        </row>
      </sheetData>
      <sheetData sheetId="8">
        <row r="45">
          <cell r="D45">
            <v>1500000</v>
          </cell>
        </row>
        <row r="46">
          <cell r="D46">
            <v>8134970.7906976752</v>
          </cell>
        </row>
      </sheetData>
      <sheetData sheetId="9">
        <row r="45">
          <cell r="D45">
            <v>6500000</v>
          </cell>
        </row>
        <row r="46">
          <cell r="D46">
            <v>7418454.1400000006</v>
          </cell>
        </row>
      </sheetData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總公司 駱正達 Chengta.Lo" id="{B00CDAED-405E-4176-83BE-9C50886B89D4}" userId="S::950491@tahoho.com.tw::880389ed-d28b-4a20-9a2a-a899dc74cef3" providerId="AD"/>
</personList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" dT="2024-03-07T03:27:43.36" personId="{B00CDAED-405E-4176-83BE-9C50886B89D4}" id="{8FE61067-474E-4C2C-B8FA-B63525C7D4C0}">
    <text>storage、server*1</text>
  </threadedComment>
  <threadedComment ref="J6" dT="2024-03-07T03:25:55.92" personId="{B00CDAED-405E-4176-83BE-9C50886B89D4}" id="{C735EA4E-AEB8-4F18-9010-F4E57CCE6EDB}">
    <text>王總</text>
  </threadedComment>
  <threadedComment ref="K6" dT="2024-03-07T03:26:05.12" personId="{B00CDAED-405E-4176-83BE-9C50886B89D4}" id="{8F4A8C47-CB74-4C91-8365-B45CB30F5C46}">
    <text>蘇協理</text>
  </threadedComment>
  <threadedComment ref="L6" dT="2024-03-07T03:26:55.44" personId="{B00CDAED-405E-4176-83BE-9C50886B89D4}" id="{80B209DE-69A8-4AF7-87E5-DA3A5D9D4BCF}">
    <text>3C週邊、線材</text>
  </threadedComment>
  <threadedComment ref="J18" dT="2024-03-07T03:25:38.14" personId="{B00CDAED-405E-4176-83BE-9C50886B89D4}" id="{6CCFF27A-06FA-465A-A09A-6A693EABBD07}">
    <text>autoCAD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47D26-BF6A-411B-9A26-8735020E215B}">
  <sheetPr>
    <tabColor rgb="FFFFFF00"/>
    <pageSetUpPr fitToPage="1"/>
  </sheetPr>
  <dimension ref="A1:AC51"/>
  <sheetViews>
    <sheetView tabSelected="1" zoomScale="70" zoomScaleNormal="70" workbookViewId="0">
      <pane xSplit="3" ySplit="1" topLeftCell="D2" activePane="bottomRight" state="frozen"/>
      <selection activeCell="G11" sqref="G11"/>
      <selection pane="topRight" activeCell="G11" sqref="G11"/>
      <selection pane="bottomLeft" activeCell="G11" sqref="G11"/>
      <selection pane="bottomRight" activeCell="G9" sqref="G9:G10"/>
    </sheetView>
  </sheetViews>
  <sheetFormatPr defaultColWidth="9" defaultRowHeight="16.2" x14ac:dyDescent="0.3"/>
  <cols>
    <col min="1" max="1" width="6.21875" style="5" customWidth="1"/>
    <col min="2" max="2" width="9.44140625" style="39" customWidth="1"/>
    <col min="3" max="3" width="31.109375" style="40" bestFit="1" customWidth="1"/>
    <col min="4" max="4" width="13" style="40" customWidth="1"/>
    <col min="5" max="5" width="13.6640625" style="5" hidden="1" customWidth="1"/>
    <col min="6" max="6" width="11.109375" style="43" hidden="1" customWidth="1"/>
    <col min="7" max="7" width="48.33203125" style="44" customWidth="1"/>
    <col min="8" max="8" width="17.5546875" style="5" hidden="1" customWidth="1"/>
    <col min="9" max="9" width="17" style="39" customWidth="1"/>
    <col min="10" max="29" width="9" style="5" customWidth="1"/>
    <col min="30" max="16384" width="9" style="5"/>
  </cols>
  <sheetData>
    <row r="1" spans="1:29" ht="16.8" thickBot="1" x14ac:dyDescent="0.35">
      <c r="A1" s="1"/>
      <c r="B1" s="94" t="s">
        <v>0</v>
      </c>
      <c r="C1" s="94"/>
      <c r="D1" s="2" t="s">
        <v>1</v>
      </c>
      <c r="E1" s="2" t="s">
        <v>2</v>
      </c>
      <c r="F1" s="3" t="s">
        <v>3</v>
      </c>
      <c r="G1" s="4" t="s">
        <v>4</v>
      </c>
      <c r="H1" s="5" t="s">
        <v>5</v>
      </c>
      <c r="I1" s="69" t="s">
        <v>130</v>
      </c>
      <c r="J1" s="70">
        <v>1</v>
      </c>
      <c r="K1" s="71">
        <v>2</v>
      </c>
      <c r="L1" s="71">
        <v>3</v>
      </c>
      <c r="M1" s="71">
        <v>4</v>
      </c>
      <c r="N1" s="71">
        <v>5</v>
      </c>
      <c r="O1" s="71">
        <v>6</v>
      </c>
      <c r="P1" s="71">
        <v>7</v>
      </c>
      <c r="Q1" s="71">
        <v>8</v>
      </c>
      <c r="R1" s="71">
        <v>9</v>
      </c>
      <c r="S1" s="71">
        <v>10</v>
      </c>
      <c r="T1" s="71">
        <v>11</v>
      </c>
      <c r="U1" s="71">
        <v>12</v>
      </c>
      <c r="V1" s="71">
        <v>13</v>
      </c>
      <c r="W1" s="71">
        <v>14</v>
      </c>
      <c r="X1" s="71">
        <v>15</v>
      </c>
      <c r="Y1" s="71">
        <v>16</v>
      </c>
      <c r="Z1" s="71">
        <v>17</v>
      </c>
      <c r="AA1" s="71">
        <v>18</v>
      </c>
      <c r="AB1" s="71">
        <v>19</v>
      </c>
      <c r="AC1" s="71">
        <v>20</v>
      </c>
    </row>
    <row r="2" spans="1:29" ht="16.8" thickTop="1" x14ac:dyDescent="0.3">
      <c r="A2" s="1"/>
      <c r="B2" s="72"/>
      <c r="C2" s="72"/>
      <c r="D2" s="2"/>
      <c r="E2" s="2"/>
      <c r="F2" s="3"/>
      <c r="G2" s="4"/>
      <c r="I2" s="90"/>
      <c r="J2" s="81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</row>
    <row r="3" spans="1:29" x14ac:dyDescent="0.3">
      <c r="A3" s="94" t="s">
        <v>6</v>
      </c>
      <c r="B3" s="103" t="s">
        <v>7</v>
      </c>
      <c r="C3" s="6" t="s">
        <v>8</v>
      </c>
      <c r="D3" s="7">
        <v>100000</v>
      </c>
      <c r="E3" s="7">
        <v>300000</v>
      </c>
      <c r="F3" s="8">
        <f t="shared" ref="F3:F33" si="0">D3-E3</f>
        <v>-200000</v>
      </c>
      <c r="G3" s="9" t="s">
        <v>9</v>
      </c>
      <c r="I3" s="91">
        <f t="shared" ref="I3:I29" si="1">SUM(J3:AC3)</f>
        <v>0</v>
      </c>
      <c r="J3" s="83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</row>
    <row r="4" spans="1:29" x14ac:dyDescent="0.3">
      <c r="A4" s="94"/>
      <c r="B4" s="103"/>
      <c r="C4" s="6" t="s">
        <v>10</v>
      </c>
      <c r="D4" s="7">
        <v>100000</v>
      </c>
      <c r="E4" s="7">
        <v>0</v>
      </c>
      <c r="F4" s="8"/>
      <c r="G4" s="9" t="s">
        <v>11</v>
      </c>
      <c r="I4" s="92">
        <f t="shared" si="1"/>
        <v>0</v>
      </c>
      <c r="J4" s="85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</row>
    <row r="5" spans="1:29" x14ac:dyDescent="0.3">
      <c r="A5" s="94"/>
      <c r="B5" s="103"/>
      <c r="C5" s="6" t="s">
        <v>12</v>
      </c>
      <c r="D5" s="7">
        <v>120000</v>
      </c>
      <c r="E5" s="7">
        <v>120000</v>
      </c>
      <c r="F5" s="8">
        <f t="shared" si="0"/>
        <v>0</v>
      </c>
      <c r="G5" s="9"/>
      <c r="I5" s="92">
        <f t="shared" si="1"/>
        <v>46070</v>
      </c>
      <c r="J5" s="85">
        <v>46070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</row>
    <row r="6" spans="1:29" x14ac:dyDescent="0.3">
      <c r="A6" s="94"/>
      <c r="B6" s="103"/>
      <c r="C6" s="6" t="s">
        <v>13</v>
      </c>
      <c r="D6" s="7">
        <v>500000</v>
      </c>
      <c r="E6" s="7">
        <v>540000</v>
      </c>
      <c r="F6" s="8">
        <f t="shared" si="0"/>
        <v>-40000</v>
      </c>
      <c r="G6" s="9" t="s">
        <v>14</v>
      </c>
      <c r="I6" s="92">
        <f t="shared" si="1"/>
        <v>114792</v>
      </c>
      <c r="J6" s="85">
        <v>58952</v>
      </c>
      <c r="K6" s="86">
        <v>39200</v>
      </c>
      <c r="L6" s="87">
        <v>16640</v>
      </c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</row>
    <row r="7" spans="1:29" ht="33" customHeight="1" x14ac:dyDescent="0.3">
      <c r="A7" s="94"/>
      <c r="B7" s="103"/>
      <c r="C7" s="10" t="s">
        <v>15</v>
      </c>
      <c r="D7" s="7">
        <v>90909.090909090912</v>
      </c>
      <c r="E7" s="7">
        <v>0</v>
      </c>
      <c r="F7" s="8"/>
      <c r="G7" s="11" t="s">
        <v>16</v>
      </c>
      <c r="I7" s="92">
        <f t="shared" si="1"/>
        <v>0</v>
      </c>
      <c r="J7" s="85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</row>
    <row r="8" spans="1:29" x14ac:dyDescent="0.3">
      <c r="A8" s="94"/>
      <c r="B8" s="103"/>
      <c r="C8" s="6" t="s">
        <v>17</v>
      </c>
      <c r="D8" s="12">
        <v>500000</v>
      </c>
      <c r="E8" s="7">
        <v>500000</v>
      </c>
      <c r="F8" s="8">
        <f t="shared" si="0"/>
        <v>0</v>
      </c>
      <c r="G8" s="9"/>
      <c r="H8" s="13"/>
      <c r="I8" s="92">
        <f t="shared" si="1"/>
        <v>0</v>
      </c>
      <c r="J8" s="85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</row>
    <row r="9" spans="1:29" x14ac:dyDescent="0.3">
      <c r="A9" s="94"/>
      <c r="B9" s="104" t="s">
        <v>18</v>
      </c>
      <c r="C9" s="1" t="s">
        <v>131</v>
      </c>
      <c r="D9" s="7">
        <v>100000</v>
      </c>
      <c r="E9" s="7">
        <v>100000</v>
      </c>
      <c r="F9" s="8">
        <f t="shared" si="0"/>
        <v>0</v>
      </c>
      <c r="G9" s="107" t="s">
        <v>133</v>
      </c>
      <c r="I9" s="92">
        <f t="shared" si="1"/>
        <v>0</v>
      </c>
      <c r="J9" s="85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</row>
    <row r="10" spans="1:29" x14ac:dyDescent="0.3">
      <c r="A10" s="94"/>
      <c r="B10" s="105"/>
      <c r="C10" s="1" t="s">
        <v>132</v>
      </c>
      <c r="D10" s="7">
        <v>100000</v>
      </c>
      <c r="E10" s="7">
        <v>100000</v>
      </c>
      <c r="F10" s="8">
        <f t="shared" si="0"/>
        <v>0</v>
      </c>
      <c r="G10" s="108"/>
      <c r="I10" s="92">
        <f t="shared" si="1"/>
        <v>0</v>
      </c>
      <c r="J10" s="85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</row>
    <row r="11" spans="1:29" ht="64.8" x14ac:dyDescent="0.3">
      <c r="A11" s="94"/>
      <c r="B11" s="105"/>
      <c r="C11" s="1" t="s">
        <v>20</v>
      </c>
      <c r="D11" s="7">
        <v>276676</v>
      </c>
      <c r="E11" s="7">
        <v>100000</v>
      </c>
      <c r="F11" s="8">
        <f>D11-E11</f>
        <v>176676</v>
      </c>
      <c r="G11" s="11" t="s">
        <v>21</v>
      </c>
      <c r="I11" s="92">
        <f t="shared" si="1"/>
        <v>0</v>
      </c>
      <c r="J11" s="85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</row>
    <row r="12" spans="1:29" x14ac:dyDescent="0.3">
      <c r="A12" s="94"/>
      <c r="B12" s="106"/>
      <c r="C12" s="1" t="s">
        <v>22</v>
      </c>
      <c r="D12" s="7">
        <f>1000000/12</f>
        <v>83333.333333333328</v>
      </c>
      <c r="E12" s="7">
        <v>0</v>
      </c>
      <c r="F12" s="8">
        <f t="shared" si="0"/>
        <v>83333.333333333328</v>
      </c>
      <c r="G12" s="11" t="s">
        <v>23</v>
      </c>
      <c r="I12" s="92">
        <f t="shared" si="1"/>
        <v>0</v>
      </c>
      <c r="J12" s="85"/>
      <c r="K12" s="86"/>
      <c r="L12" s="86"/>
      <c r="M12" s="86"/>
      <c r="N12" s="84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</row>
    <row r="13" spans="1:29" x14ac:dyDescent="0.3">
      <c r="A13" s="94"/>
      <c r="B13" s="109" t="s">
        <v>24</v>
      </c>
      <c r="C13" s="1" t="s">
        <v>19</v>
      </c>
      <c r="D13" s="7">
        <v>15000</v>
      </c>
      <c r="E13" s="7">
        <v>15000</v>
      </c>
      <c r="F13" s="8">
        <f>D13-E13</f>
        <v>0</v>
      </c>
      <c r="G13" s="11" t="s">
        <v>25</v>
      </c>
      <c r="I13" s="92">
        <f t="shared" si="1"/>
        <v>0</v>
      </c>
      <c r="J13" s="85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</row>
    <row r="14" spans="1:29" x14ac:dyDescent="0.3">
      <c r="A14" s="94"/>
      <c r="B14" s="110"/>
      <c r="C14" s="1" t="s">
        <v>26</v>
      </c>
      <c r="D14" s="7">
        <v>30525</v>
      </c>
      <c r="E14" s="7">
        <v>0</v>
      </c>
      <c r="F14" s="8">
        <f t="shared" si="0"/>
        <v>30525</v>
      </c>
      <c r="G14" s="11" t="s">
        <v>27</v>
      </c>
      <c r="I14" s="92">
        <f t="shared" si="1"/>
        <v>0</v>
      </c>
      <c r="J14" s="85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</row>
    <row r="15" spans="1:29" x14ac:dyDescent="0.3">
      <c r="A15" s="94"/>
      <c r="B15" s="110"/>
      <c r="C15" s="1" t="s">
        <v>28</v>
      </c>
      <c r="D15" s="7">
        <v>13537</v>
      </c>
      <c r="E15" s="7">
        <v>0</v>
      </c>
      <c r="F15" s="8">
        <f t="shared" si="0"/>
        <v>13537</v>
      </c>
      <c r="G15" s="11" t="s">
        <v>29</v>
      </c>
      <c r="I15" s="92">
        <f t="shared" si="1"/>
        <v>0</v>
      </c>
      <c r="J15" s="85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</row>
    <row r="16" spans="1:29" x14ac:dyDescent="0.3">
      <c r="A16" s="94"/>
      <c r="B16" s="110"/>
      <c r="C16" s="1" t="s">
        <v>22</v>
      </c>
      <c r="D16" s="7">
        <v>39375</v>
      </c>
      <c r="E16" s="7">
        <v>0</v>
      </c>
      <c r="F16" s="8">
        <f t="shared" si="0"/>
        <v>39375</v>
      </c>
      <c r="G16" s="11" t="s">
        <v>30</v>
      </c>
      <c r="I16" s="92">
        <f t="shared" si="1"/>
        <v>0</v>
      </c>
      <c r="J16" s="85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</row>
    <row r="17" spans="1:29" x14ac:dyDescent="0.3">
      <c r="A17" s="94"/>
      <c r="B17" s="110"/>
      <c r="C17" s="1" t="s">
        <v>134</v>
      </c>
      <c r="D17" s="7">
        <v>0</v>
      </c>
      <c r="E17" s="7"/>
      <c r="F17" s="8"/>
      <c r="G17" s="14" t="s">
        <v>135</v>
      </c>
      <c r="I17" s="92"/>
      <c r="J17" s="85">
        <v>1018000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</row>
    <row r="18" spans="1:29" ht="81" x14ac:dyDescent="0.3">
      <c r="A18" s="94"/>
      <c r="B18" s="110"/>
      <c r="C18" s="1" t="s">
        <v>31</v>
      </c>
      <c r="D18" s="7">
        <v>600000</v>
      </c>
      <c r="E18" s="7">
        <v>150000</v>
      </c>
      <c r="F18" s="8">
        <f t="shared" si="0"/>
        <v>450000</v>
      </c>
      <c r="G18" s="14" t="s">
        <v>32</v>
      </c>
      <c r="H18">
        <v>140943</v>
      </c>
      <c r="I18" s="92">
        <f t="shared" si="1"/>
        <v>0</v>
      </c>
      <c r="J18" s="85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</row>
    <row r="19" spans="1:29" ht="31.2" x14ac:dyDescent="0.3">
      <c r="A19" s="94"/>
      <c r="B19" s="104" t="s">
        <v>33</v>
      </c>
      <c r="C19" s="1" t="s">
        <v>34</v>
      </c>
      <c r="D19" s="7">
        <v>253463</v>
      </c>
      <c r="E19" s="7">
        <v>82300</v>
      </c>
      <c r="F19" s="8">
        <f t="shared" si="0"/>
        <v>171163</v>
      </c>
      <c r="G19" s="15" t="s">
        <v>35</v>
      </c>
      <c r="H19" s="5">
        <v>253463</v>
      </c>
      <c r="I19" s="92">
        <f t="shared" si="1"/>
        <v>0</v>
      </c>
      <c r="J19" s="85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</row>
    <row r="20" spans="1:29" x14ac:dyDescent="0.3">
      <c r="A20" s="94"/>
      <c r="B20" s="105"/>
      <c r="C20" s="16" t="s">
        <v>36</v>
      </c>
      <c r="D20" s="7">
        <v>6000</v>
      </c>
      <c r="E20" s="7">
        <v>6000</v>
      </c>
      <c r="F20" s="8">
        <f t="shared" si="0"/>
        <v>0</v>
      </c>
      <c r="G20" s="9"/>
      <c r="I20" s="92">
        <f t="shared" si="1"/>
        <v>0</v>
      </c>
      <c r="J20" s="85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</row>
    <row r="21" spans="1:29" s="19" customFormat="1" ht="32.4" x14ac:dyDescent="0.3">
      <c r="A21" s="94"/>
      <c r="B21" s="105"/>
      <c r="C21" s="16" t="s">
        <v>37</v>
      </c>
      <c r="D21" s="17">
        <v>151200</v>
      </c>
      <c r="E21" s="17">
        <v>151200</v>
      </c>
      <c r="F21" s="8">
        <f t="shared" si="0"/>
        <v>0</v>
      </c>
      <c r="G21" s="18" t="s">
        <v>38</v>
      </c>
      <c r="I21" s="93">
        <f t="shared" si="1"/>
        <v>0</v>
      </c>
      <c r="J21" s="88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</row>
    <row r="22" spans="1:29" s="19" customFormat="1" x14ac:dyDescent="0.3">
      <c r="A22" s="94"/>
      <c r="B22" s="105"/>
      <c r="C22" s="1" t="s">
        <v>39</v>
      </c>
      <c r="D22" s="7">
        <v>800000</v>
      </c>
      <c r="E22" s="7">
        <v>600000</v>
      </c>
      <c r="F22" s="8">
        <f t="shared" si="0"/>
        <v>200000</v>
      </c>
      <c r="G22" s="9" t="s">
        <v>40</v>
      </c>
      <c r="I22" s="93">
        <f t="shared" si="1"/>
        <v>0</v>
      </c>
      <c r="J22" s="88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</row>
    <row r="23" spans="1:29" s="19" customFormat="1" ht="48.6" x14ac:dyDescent="0.3">
      <c r="A23" s="94"/>
      <c r="B23" s="106"/>
      <c r="C23" s="1" t="s">
        <v>41</v>
      </c>
      <c r="D23" s="7">
        <v>88888.888888888891</v>
      </c>
      <c r="E23" s="7">
        <v>0</v>
      </c>
      <c r="F23" s="8">
        <f t="shared" si="0"/>
        <v>88888.888888888891</v>
      </c>
      <c r="G23" s="11" t="s">
        <v>42</v>
      </c>
      <c r="I23" s="93">
        <f t="shared" si="1"/>
        <v>0</v>
      </c>
      <c r="J23" s="88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</row>
    <row r="24" spans="1:29" s="19" customFormat="1" x14ac:dyDescent="0.3">
      <c r="A24" s="94" t="s">
        <v>43</v>
      </c>
      <c r="B24" s="95" t="s">
        <v>44</v>
      </c>
      <c r="C24" s="1" t="s">
        <v>45</v>
      </c>
      <c r="D24" s="7">
        <v>0</v>
      </c>
      <c r="E24" s="7">
        <v>100000</v>
      </c>
      <c r="F24" s="8">
        <f t="shared" si="0"/>
        <v>-100000</v>
      </c>
      <c r="G24" s="9"/>
      <c r="I24" s="93">
        <f t="shared" si="1"/>
        <v>0</v>
      </c>
      <c r="J24" s="88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</row>
    <row r="25" spans="1:29" s="19" customFormat="1" x14ac:dyDescent="0.3">
      <c r="A25" s="94"/>
      <c r="B25" s="95"/>
      <c r="C25" s="16" t="s">
        <v>46</v>
      </c>
      <c r="D25" s="7">
        <v>70000</v>
      </c>
      <c r="E25" s="7">
        <v>70000</v>
      </c>
      <c r="F25" s="8">
        <f t="shared" si="0"/>
        <v>0</v>
      </c>
      <c r="G25" s="11"/>
      <c r="I25" s="93">
        <f t="shared" si="1"/>
        <v>0</v>
      </c>
      <c r="J25" s="88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</row>
    <row r="26" spans="1:29" s="19" customFormat="1" x14ac:dyDescent="0.3">
      <c r="A26" s="94"/>
      <c r="B26" s="95"/>
      <c r="C26" s="1" t="s">
        <v>47</v>
      </c>
      <c r="D26" s="7">
        <v>250000</v>
      </c>
      <c r="E26" s="7">
        <v>250000</v>
      </c>
      <c r="F26" s="8">
        <f t="shared" si="0"/>
        <v>0</v>
      </c>
      <c r="G26" s="11"/>
      <c r="I26" s="93">
        <f t="shared" si="1"/>
        <v>0</v>
      </c>
      <c r="J26" s="88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</row>
    <row r="27" spans="1:29" s="19" customFormat="1" x14ac:dyDescent="0.3">
      <c r="A27" s="94"/>
      <c r="B27" s="95"/>
      <c r="C27" s="21" t="s">
        <v>48</v>
      </c>
      <c r="D27" s="7">
        <v>105000</v>
      </c>
      <c r="E27" s="7">
        <v>68250</v>
      </c>
      <c r="F27" s="8">
        <f t="shared" si="0"/>
        <v>36750</v>
      </c>
      <c r="G27" s="22" t="s">
        <v>49</v>
      </c>
      <c r="H27" s="23"/>
      <c r="I27" s="93">
        <f t="shared" si="1"/>
        <v>0</v>
      </c>
      <c r="J27" s="88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</row>
    <row r="28" spans="1:29" s="19" customFormat="1" x14ac:dyDescent="0.3">
      <c r="A28" s="94"/>
      <c r="B28" s="95"/>
      <c r="C28" s="1" t="s">
        <v>50</v>
      </c>
      <c r="D28" s="24">
        <v>100000</v>
      </c>
      <c r="E28" s="24">
        <v>0</v>
      </c>
      <c r="F28" s="8">
        <f t="shared" si="0"/>
        <v>100000</v>
      </c>
      <c r="G28" s="18" t="s">
        <v>51</v>
      </c>
      <c r="H28" s="23"/>
      <c r="I28" s="93">
        <f t="shared" si="1"/>
        <v>0</v>
      </c>
      <c r="J28" s="88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</row>
    <row r="29" spans="1:29" s="19" customFormat="1" x14ac:dyDescent="0.3">
      <c r="A29" s="94"/>
      <c r="B29" s="95"/>
      <c r="C29" s="1" t="s">
        <v>52</v>
      </c>
      <c r="D29" s="24">
        <v>100000</v>
      </c>
      <c r="E29" s="24">
        <v>0</v>
      </c>
      <c r="F29" s="8">
        <f t="shared" si="0"/>
        <v>100000</v>
      </c>
      <c r="G29" s="18" t="s">
        <v>53</v>
      </c>
      <c r="H29" s="23"/>
      <c r="I29" s="93">
        <f t="shared" si="1"/>
        <v>0</v>
      </c>
      <c r="J29" s="88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</row>
    <row r="30" spans="1:29" s="19" customFormat="1" x14ac:dyDescent="0.3">
      <c r="A30" s="94"/>
      <c r="B30" s="95"/>
      <c r="C30" s="1" t="s">
        <v>54</v>
      </c>
      <c r="D30" s="24">
        <v>200000</v>
      </c>
      <c r="E30" s="7">
        <v>0</v>
      </c>
      <c r="F30" s="8">
        <f t="shared" si="0"/>
        <v>200000</v>
      </c>
      <c r="G30" s="25"/>
      <c r="H30" s="23"/>
      <c r="I30" s="93">
        <f>SUM(J30:AC30)</f>
        <v>19048</v>
      </c>
      <c r="J30" s="88">
        <v>19048</v>
      </c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</row>
    <row r="31" spans="1:29" s="19" customFormat="1" x14ac:dyDescent="0.3">
      <c r="A31" s="94"/>
      <c r="B31" s="96" t="s">
        <v>55</v>
      </c>
      <c r="C31" s="10" t="s">
        <v>56</v>
      </c>
      <c r="D31" s="26">
        <v>800000</v>
      </c>
      <c r="E31" s="24">
        <v>800000</v>
      </c>
      <c r="F31" s="8">
        <f t="shared" si="0"/>
        <v>0</v>
      </c>
      <c r="G31" s="27" t="s">
        <v>57</v>
      </c>
      <c r="H31" s="23"/>
      <c r="I31" s="93">
        <f t="shared" ref="I31:I44" si="2">SUM(J31:AC31)</f>
        <v>0</v>
      </c>
      <c r="J31" s="88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</row>
    <row r="32" spans="1:29" s="19" customFormat="1" x14ac:dyDescent="0.3">
      <c r="A32" s="94"/>
      <c r="B32" s="96"/>
      <c r="C32" s="28" t="s">
        <v>58</v>
      </c>
      <c r="D32" s="29">
        <v>100000</v>
      </c>
      <c r="E32" s="24">
        <v>0</v>
      </c>
      <c r="F32" s="8">
        <f>D32-E32</f>
        <v>100000</v>
      </c>
      <c r="G32" s="11" t="s">
        <v>59</v>
      </c>
      <c r="H32" s="23"/>
      <c r="I32" s="93">
        <f t="shared" si="2"/>
        <v>0</v>
      </c>
      <c r="J32" s="88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</row>
    <row r="33" spans="1:29" s="19" customFormat="1" ht="32.4" x14ac:dyDescent="0.3">
      <c r="A33" s="94"/>
      <c r="B33" s="20" t="s">
        <v>60</v>
      </c>
      <c r="C33" s="1" t="s">
        <v>61</v>
      </c>
      <c r="D33" s="24">
        <v>100000</v>
      </c>
      <c r="E33" s="24">
        <v>100000</v>
      </c>
      <c r="F33" s="8">
        <f t="shared" si="0"/>
        <v>0</v>
      </c>
      <c r="G33" s="30" t="s">
        <v>62</v>
      </c>
      <c r="H33" s="31"/>
      <c r="I33" s="93">
        <f t="shared" si="2"/>
        <v>0</v>
      </c>
      <c r="J33" s="88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</row>
    <row r="34" spans="1:29" x14ac:dyDescent="0.3">
      <c r="A34" s="94"/>
      <c r="B34" s="95" t="s">
        <v>63</v>
      </c>
      <c r="C34" s="1" t="s">
        <v>64</v>
      </c>
      <c r="D34" s="7">
        <v>125000</v>
      </c>
      <c r="E34" s="7">
        <v>125000</v>
      </c>
      <c r="F34" s="8"/>
      <c r="G34" s="32" t="s">
        <v>65</v>
      </c>
      <c r="H34" s="33" t="s">
        <v>66</v>
      </c>
      <c r="I34" s="92">
        <f t="shared" si="2"/>
        <v>0</v>
      </c>
      <c r="J34" s="85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</row>
    <row r="35" spans="1:29" x14ac:dyDescent="0.3">
      <c r="A35" s="94"/>
      <c r="B35" s="95"/>
      <c r="C35" s="1" t="s">
        <v>67</v>
      </c>
      <c r="D35" s="24">
        <f>1500000/12</f>
        <v>125000</v>
      </c>
      <c r="E35" s="24">
        <f>1500000/12</f>
        <v>125000</v>
      </c>
      <c r="F35" s="8">
        <f>D35-E35</f>
        <v>0</v>
      </c>
      <c r="G35" s="18" t="s">
        <v>68</v>
      </c>
      <c r="H35" s="33" t="s">
        <v>66</v>
      </c>
      <c r="I35" s="92">
        <f t="shared" si="2"/>
        <v>0</v>
      </c>
      <c r="J35" s="85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</row>
    <row r="36" spans="1:29" x14ac:dyDescent="0.3">
      <c r="A36" s="94"/>
      <c r="B36" s="95"/>
      <c r="C36" s="1" t="s">
        <v>69</v>
      </c>
      <c r="D36" s="17">
        <v>41666.666666666664</v>
      </c>
      <c r="E36" s="17">
        <v>41666.666666666664</v>
      </c>
      <c r="F36" s="8"/>
      <c r="G36" s="32" t="s">
        <v>70</v>
      </c>
      <c r="H36" s="33" t="s">
        <v>66</v>
      </c>
      <c r="I36" s="92">
        <f t="shared" si="2"/>
        <v>0</v>
      </c>
      <c r="J36" s="85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</row>
    <row r="37" spans="1:29" ht="15.75" customHeight="1" x14ac:dyDescent="0.3">
      <c r="A37" s="94" t="s">
        <v>71</v>
      </c>
      <c r="B37" s="97" t="s">
        <v>72</v>
      </c>
      <c r="C37" s="98"/>
      <c r="D37" s="35"/>
      <c r="E37" s="7"/>
      <c r="F37" s="8"/>
      <c r="G37" s="9"/>
      <c r="H37" s="23"/>
      <c r="I37" s="92">
        <f t="shared" si="2"/>
        <v>0</v>
      </c>
      <c r="J37" s="85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</row>
    <row r="38" spans="1:29" x14ac:dyDescent="0.3">
      <c r="A38" s="94"/>
      <c r="B38" s="2"/>
      <c r="C38" s="36" t="s">
        <v>73</v>
      </c>
      <c r="D38" s="7">
        <v>2000000</v>
      </c>
      <c r="E38" s="7">
        <v>900000</v>
      </c>
      <c r="F38" s="8"/>
      <c r="G38" s="37"/>
      <c r="H38" s="23"/>
      <c r="I38" s="92">
        <f t="shared" si="2"/>
        <v>0</v>
      </c>
      <c r="J38" s="85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</row>
    <row r="39" spans="1:29" ht="16.2" customHeight="1" x14ac:dyDescent="0.3">
      <c r="A39" s="94"/>
      <c r="B39" s="99" t="s">
        <v>74</v>
      </c>
      <c r="C39" s="100"/>
      <c r="D39" s="7"/>
      <c r="E39" s="7"/>
      <c r="F39" s="8"/>
      <c r="G39" s="9"/>
      <c r="I39" s="92">
        <f t="shared" si="2"/>
        <v>0</v>
      </c>
      <c r="J39" s="85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</row>
    <row r="40" spans="1:29" x14ac:dyDescent="0.3">
      <c r="A40" s="94"/>
      <c r="B40" s="2"/>
      <c r="C40" s="21" t="s">
        <v>75</v>
      </c>
      <c r="D40" s="26">
        <v>6000000</v>
      </c>
      <c r="E40" s="24">
        <v>5000000</v>
      </c>
      <c r="F40" s="8"/>
      <c r="G40" s="22" t="s">
        <v>76</v>
      </c>
      <c r="I40" s="92">
        <f t="shared" si="2"/>
        <v>0</v>
      </c>
      <c r="J40" s="85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</row>
    <row r="41" spans="1:29" ht="48.6" x14ac:dyDescent="0.3">
      <c r="A41" s="94"/>
      <c r="B41" s="2"/>
      <c r="C41" s="21" t="s">
        <v>77</v>
      </c>
      <c r="D41" s="24">
        <v>100000</v>
      </c>
      <c r="E41" s="24">
        <v>100000</v>
      </c>
      <c r="F41" s="8"/>
      <c r="G41" s="18" t="s">
        <v>78</v>
      </c>
      <c r="I41" s="92">
        <f t="shared" si="2"/>
        <v>0</v>
      </c>
      <c r="J41" s="85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</row>
    <row r="42" spans="1:29" ht="16.2" customHeight="1" x14ac:dyDescent="0.3">
      <c r="A42" s="94"/>
      <c r="B42" s="101" t="s">
        <v>79</v>
      </c>
      <c r="C42" s="102"/>
      <c r="D42" s="35"/>
      <c r="E42" s="24"/>
      <c r="F42" s="8"/>
      <c r="G42" s="9"/>
      <c r="I42" s="92">
        <f t="shared" si="2"/>
        <v>0</v>
      </c>
      <c r="J42" s="85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</row>
    <row r="43" spans="1:29" x14ac:dyDescent="0.3">
      <c r="A43" s="94"/>
      <c r="B43" s="2"/>
      <c r="C43" s="21" t="s">
        <v>80</v>
      </c>
      <c r="D43" s="7">
        <v>0</v>
      </c>
      <c r="E43" s="7">
        <v>3000000</v>
      </c>
      <c r="F43" s="8"/>
      <c r="G43" s="37" t="s">
        <v>81</v>
      </c>
      <c r="I43" s="92">
        <f t="shared" si="2"/>
        <v>0</v>
      </c>
      <c r="J43" s="85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</row>
    <row r="44" spans="1:29" x14ac:dyDescent="0.3">
      <c r="A44" s="94"/>
      <c r="B44" s="2"/>
      <c r="C44" s="38" t="s">
        <v>82</v>
      </c>
      <c r="D44" s="12">
        <v>3000000</v>
      </c>
      <c r="E44" s="7">
        <v>0</v>
      </c>
      <c r="F44" s="8"/>
      <c r="G44" s="9"/>
      <c r="I44" s="92">
        <f t="shared" si="2"/>
        <v>0</v>
      </c>
      <c r="J44" s="85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</row>
    <row r="45" spans="1:29" x14ac:dyDescent="0.3">
      <c r="D45" s="41">
        <f>SUM(D3:D44)</f>
        <v>17185573.979797982</v>
      </c>
      <c r="E45" s="42">
        <f>SUM(E3:E44)</f>
        <v>13444416.666666668</v>
      </c>
    </row>
    <row r="50" spans="3:4" x14ac:dyDescent="0.3">
      <c r="C50" s="45" t="s">
        <v>83</v>
      </c>
      <c r="D50" s="46">
        <f>D40+D31+D8</f>
        <v>7300000</v>
      </c>
    </row>
    <row r="51" spans="3:4" x14ac:dyDescent="0.3">
      <c r="C51" s="45" t="s">
        <v>84</v>
      </c>
      <c r="D51" s="47">
        <f>D45-D50</f>
        <v>9885573.9797979817</v>
      </c>
    </row>
  </sheetData>
  <sheetProtection algorithmName="SHA-512" hashValue="OuoSUNuW+tyrZQmpMmLLvNrg+asl9hQcR1q9mcNr6sq6fERm6VLKjxgeFvKlu9gZHsE/GHK6ntLyV9a5xS6iAw==" saltValue="APICdMcqXOYvbk0Vmy+bmQ==" spinCount="100000" sheet="1" objects="1" scenarios="1"/>
  <mergeCells count="15">
    <mergeCell ref="B1:C1"/>
    <mergeCell ref="A3:A23"/>
    <mergeCell ref="B3:B8"/>
    <mergeCell ref="B9:B12"/>
    <mergeCell ref="G9:G10"/>
    <mergeCell ref="B13:B18"/>
    <mergeCell ref="B19:B23"/>
    <mergeCell ref="A24:A36"/>
    <mergeCell ref="B24:B30"/>
    <mergeCell ref="B31:B32"/>
    <mergeCell ref="B34:B36"/>
    <mergeCell ref="A37:A44"/>
    <mergeCell ref="B37:C37"/>
    <mergeCell ref="B39:C39"/>
    <mergeCell ref="B42:C42"/>
  </mergeCells>
  <phoneticPr fontId="4" type="noConversion"/>
  <pageMargins left="0.25" right="0.25" top="0.75" bottom="0.75" header="0.3" footer="0.3"/>
  <pageSetup paperSize="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2383-8029-4EAF-9469-48FCEBD715B2}">
  <sheetPr>
    <pageSetUpPr fitToPage="1"/>
  </sheetPr>
  <dimension ref="A1:R35"/>
  <sheetViews>
    <sheetView workbookViewId="0">
      <pane ySplit="1" topLeftCell="A2" activePane="bottomLeft" state="frozen"/>
      <selection activeCell="G11" sqref="G11"/>
      <selection pane="bottomLeft" activeCell="F13" sqref="F13"/>
    </sheetView>
  </sheetViews>
  <sheetFormatPr defaultRowHeight="16.2" x14ac:dyDescent="0.3"/>
  <cols>
    <col min="3" max="3" width="34.109375" customWidth="1"/>
    <col min="4" max="17" width="11.77734375" style="63" customWidth="1"/>
    <col min="18" max="18" width="11.77734375" customWidth="1"/>
    <col min="19" max="23" width="10.6640625" bestFit="1" customWidth="1"/>
    <col min="24" max="24" width="13" bestFit="1" customWidth="1"/>
    <col min="25" max="30" width="10.6640625" bestFit="1" customWidth="1"/>
    <col min="31" max="31" width="15.44140625" bestFit="1" customWidth="1"/>
    <col min="32" max="32" width="13" bestFit="1" customWidth="1"/>
  </cols>
  <sheetData>
    <row r="1" spans="1:18" x14ac:dyDescent="0.3">
      <c r="A1" s="1"/>
      <c r="B1" s="94" t="s">
        <v>0</v>
      </c>
      <c r="C1" s="94"/>
      <c r="D1" s="48" t="s">
        <v>85</v>
      </c>
      <c r="E1" s="48" t="s">
        <v>86</v>
      </c>
      <c r="F1" s="48" t="s">
        <v>87</v>
      </c>
      <c r="G1" s="48" t="s">
        <v>88</v>
      </c>
      <c r="H1" s="48" t="s">
        <v>89</v>
      </c>
      <c r="I1" s="48" t="s">
        <v>90</v>
      </c>
      <c r="J1" s="48" t="s">
        <v>91</v>
      </c>
      <c r="K1" s="49" t="s">
        <v>92</v>
      </c>
      <c r="L1" s="49" t="s">
        <v>93</v>
      </c>
      <c r="M1" s="48" t="s">
        <v>94</v>
      </c>
      <c r="N1" s="48" t="s">
        <v>95</v>
      </c>
      <c r="O1" s="48" t="s">
        <v>96</v>
      </c>
      <c r="P1" s="48" t="s">
        <v>97</v>
      </c>
      <c r="Q1" s="48" t="s">
        <v>98</v>
      </c>
      <c r="R1" s="50"/>
    </row>
    <row r="2" spans="1:18" x14ac:dyDescent="0.3">
      <c r="A2" s="109" t="s">
        <v>99</v>
      </c>
      <c r="B2" s="94" t="s">
        <v>100</v>
      </c>
      <c r="C2" s="1" t="s">
        <v>101</v>
      </c>
      <c r="D2" s="51">
        <f>100000/7</f>
        <v>14285.714285714286</v>
      </c>
      <c r="E2" s="51">
        <f t="shared" ref="E2:J3" si="0">100000/7</f>
        <v>14285.714285714286</v>
      </c>
      <c r="F2" s="51">
        <f t="shared" si="0"/>
        <v>14285.714285714286</v>
      </c>
      <c r="G2" s="51">
        <f t="shared" si="0"/>
        <v>14285.714285714286</v>
      </c>
      <c r="H2" s="51">
        <f t="shared" si="0"/>
        <v>14285.714285714286</v>
      </c>
      <c r="I2" s="51">
        <f t="shared" si="0"/>
        <v>14285.714285714286</v>
      </c>
      <c r="J2" s="51">
        <f t="shared" si="0"/>
        <v>14285.714285714286</v>
      </c>
      <c r="K2" s="51">
        <v>0</v>
      </c>
      <c r="L2" s="51">
        <v>0</v>
      </c>
      <c r="M2" s="52">
        <v>0</v>
      </c>
      <c r="N2" s="52">
        <v>0</v>
      </c>
      <c r="O2" s="52">
        <v>0</v>
      </c>
      <c r="P2" s="52">
        <v>0</v>
      </c>
      <c r="Q2" s="52">
        <f>SUM(D2:P2)</f>
        <v>100000.00000000001</v>
      </c>
      <c r="R2" s="53"/>
    </row>
    <row r="3" spans="1:18" x14ac:dyDescent="0.3">
      <c r="A3" s="110"/>
      <c r="B3" s="94"/>
      <c r="C3" s="1" t="s">
        <v>102</v>
      </c>
      <c r="D3" s="52">
        <f>100000/7</f>
        <v>14285.714285714286</v>
      </c>
      <c r="E3" s="52">
        <f t="shared" si="0"/>
        <v>14285.714285714286</v>
      </c>
      <c r="F3" s="52">
        <f t="shared" si="0"/>
        <v>14285.714285714286</v>
      </c>
      <c r="G3" s="52">
        <f t="shared" si="0"/>
        <v>14285.714285714286</v>
      </c>
      <c r="H3" s="52">
        <f t="shared" si="0"/>
        <v>14285.714285714286</v>
      </c>
      <c r="I3" s="52">
        <f t="shared" si="0"/>
        <v>14285.714285714286</v>
      </c>
      <c r="J3" s="52">
        <f t="shared" si="0"/>
        <v>14285.714285714286</v>
      </c>
      <c r="K3" s="52">
        <v>0</v>
      </c>
      <c r="L3" s="52">
        <v>0</v>
      </c>
      <c r="M3" s="52">
        <v>0</v>
      </c>
      <c r="N3" s="52">
        <v>0</v>
      </c>
      <c r="O3" s="52">
        <v>0</v>
      </c>
      <c r="P3" s="52">
        <v>0</v>
      </c>
      <c r="Q3" s="52">
        <f t="shared" ref="Q3:Q13" si="1">SUM(D3:N3)</f>
        <v>100000.00000000001</v>
      </c>
      <c r="R3" s="53"/>
    </row>
    <row r="4" spans="1:18" x14ac:dyDescent="0.3">
      <c r="A4" s="110"/>
      <c r="B4" s="109" t="s">
        <v>103</v>
      </c>
      <c r="C4" s="1" t="s">
        <v>104</v>
      </c>
      <c r="D4" s="7">
        <f>120000/8</f>
        <v>15000</v>
      </c>
      <c r="E4" s="7">
        <f t="shared" ref="E4:J4" si="2">120000/8</f>
        <v>15000</v>
      </c>
      <c r="F4" s="7">
        <f t="shared" si="2"/>
        <v>15000</v>
      </c>
      <c r="G4" s="7">
        <f t="shared" si="2"/>
        <v>15000</v>
      </c>
      <c r="H4" s="7">
        <f t="shared" si="2"/>
        <v>15000</v>
      </c>
      <c r="I4" s="7">
        <f t="shared" si="2"/>
        <v>15000</v>
      </c>
      <c r="J4" s="7">
        <f t="shared" si="2"/>
        <v>15000</v>
      </c>
      <c r="K4" s="7">
        <v>0</v>
      </c>
      <c r="L4" s="7">
        <v>0</v>
      </c>
      <c r="M4" s="52">
        <v>0</v>
      </c>
      <c r="N4" s="52">
        <v>0</v>
      </c>
      <c r="O4" s="52">
        <v>0</v>
      </c>
      <c r="P4" s="52">
        <v>0</v>
      </c>
      <c r="Q4" s="52">
        <f>SUM(D4:P4)</f>
        <v>105000</v>
      </c>
      <c r="R4" s="53"/>
    </row>
    <row r="5" spans="1:18" x14ac:dyDescent="0.3">
      <c r="A5" s="110"/>
      <c r="B5" s="110"/>
      <c r="C5" s="1" t="s">
        <v>105</v>
      </c>
      <c r="D5" s="7">
        <f>1500000/11</f>
        <v>136363.63636363635</v>
      </c>
      <c r="E5" s="7">
        <f t="shared" ref="E5:L5" si="3">1500000/11</f>
        <v>136363.63636363635</v>
      </c>
      <c r="F5" s="7">
        <f t="shared" si="3"/>
        <v>136363.63636363635</v>
      </c>
      <c r="G5" s="7">
        <f t="shared" si="3"/>
        <v>136363.63636363635</v>
      </c>
      <c r="H5" s="7">
        <f t="shared" si="3"/>
        <v>136363.63636363635</v>
      </c>
      <c r="I5" s="7">
        <f t="shared" si="3"/>
        <v>136363.63636363635</v>
      </c>
      <c r="J5" s="7">
        <f t="shared" si="3"/>
        <v>136363.63636363635</v>
      </c>
      <c r="K5" s="7">
        <f t="shared" si="3"/>
        <v>136363.63636363635</v>
      </c>
      <c r="L5" s="7">
        <f t="shared" si="3"/>
        <v>136363.63636363635</v>
      </c>
      <c r="M5" s="7">
        <v>88500</v>
      </c>
      <c r="N5" s="7">
        <v>5250</v>
      </c>
      <c r="O5" s="7">
        <v>0</v>
      </c>
      <c r="P5" s="7">
        <v>0</v>
      </c>
      <c r="Q5" s="7">
        <f>SUM(D5:N5)</f>
        <v>1321022.7272727271</v>
      </c>
      <c r="R5" s="53"/>
    </row>
    <row r="6" spans="1:18" x14ac:dyDescent="0.3">
      <c r="A6" s="110"/>
      <c r="B6" s="110"/>
      <c r="C6" s="1" t="s">
        <v>106</v>
      </c>
      <c r="D6" s="54">
        <v>21433</v>
      </c>
      <c r="E6" s="54">
        <v>23313</v>
      </c>
      <c r="F6" s="54">
        <v>22185</v>
      </c>
      <c r="G6" s="54">
        <v>23690</v>
      </c>
      <c r="H6" s="54">
        <v>19930</v>
      </c>
      <c r="I6" s="54">
        <v>21057</v>
      </c>
      <c r="J6" s="54">
        <v>25193</v>
      </c>
      <c r="K6" s="54">
        <v>17297</v>
      </c>
      <c r="L6" s="54">
        <v>18049</v>
      </c>
      <c r="M6" s="55">
        <v>20681</v>
      </c>
      <c r="N6" s="56">
        <v>86482</v>
      </c>
      <c r="O6" s="55">
        <v>1128</v>
      </c>
      <c r="P6" s="55">
        <v>13160</v>
      </c>
      <c r="Q6" s="52">
        <f>SUM(D6:P6)</f>
        <v>313598</v>
      </c>
      <c r="R6" s="53"/>
    </row>
    <row r="7" spans="1:18" x14ac:dyDescent="0.3">
      <c r="A7" s="110"/>
      <c r="B7" s="110"/>
      <c r="C7" s="1" t="s">
        <v>107</v>
      </c>
      <c r="D7" s="51">
        <f>393750/10</f>
        <v>39375</v>
      </c>
      <c r="E7" s="51">
        <f t="shared" ref="E7:L7" si="4">393750/10</f>
        <v>39375</v>
      </c>
      <c r="F7" s="51">
        <f t="shared" si="4"/>
        <v>39375</v>
      </c>
      <c r="G7" s="51">
        <f t="shared" si="4"/>
        <v>39375</v>
      </c>
      <c r="H7" s="51">
        <f t="shared" si="4"/>
        <v>39375</v>
      </c>
      <c r="I7" s="51">
        <f t="shared" si="4"/>
        <v>39375</v>
      </c>
      <c r="J7" s="51">
        <f t="shared" si="4"/>
        <v>39375</v>
      </c>
      <c r="K7" s="51">
        <f t="shared" si="4"/>
        <v>39375</v>
      </c>
      <c r="L7" s="51">
        <f t="shared" si="4"/>
        <v>39375</v>
      </c>
      <c r="M7" s="51">
        <v>0</v>
      </c>
      <c r="N7" s="56">
        <v>0</v>
      </c>
      <c r="O7" s="56">
        <v>0</v>
      </c>
      <c r="P7" s="56">
        <v>0</v>
      </c>
      <c r="Q7" s="52">
        <f>SUM(D7:P7)</f>
        <v>354375</v>
      </c>
      <c r="R7" s="52"/>
    </row>
    <row r="8" spans="1:18" ht="18" customHeight="1" x14ac:dyDescent="0.3">
      <c r="A8" s="110"/>
      <c r="B8" s="110"/>
      <c r="C8" s="1" t="s">
        <v>108</v>
      </c>
      <c r="D8" s="51">
        <f>48000/4</f>
        <v>12000</v>
      </c>
      <c r="E8" s="51">
        <f>48000/4</f>
        <v>12000</v>
      </c>
      <c r="F8" s="51">
        <v>0</v>
      </c>
      <c r="G8" s="51">
        <v>0</v>
      </c>
      <c r="H8" s="51">
        <v>0</v>
      </c>
      <c r="I8" s="51">
        <f>48000/4</f>
        <v>12000</v>
      </c>
      <c r="J8" s="51">
        <v>0</v>
      </c>
      <c r="K8" s="51">
        <f>48000/4</f>
        <v>12000</v>
      </c>
      <c r="L8" s="51">
        <v>0</v>
      </c>
      <c r="M8" s="51">
        <v>0</v>
      </c>
      <c r="N8" s="56">
        <v>0</v>
      </c>
      <c r="O8" s="56">
        <v>0</v>
      </c>
      <c r="P8" s="56">
        <v>0</v>
      </c>
      <c r="Q8" s="52">
        <f>SUM(D8:P8)</f>
        <v>48000</v>
      </c>
      <c r="R8" s="53"/>
    </row>
    <row r="9" spans="1:18" ht="18" customHeight="1" x14ac:dyDescent="0.3">
      <c r="A9" s="110"/>
      <c r="B9" s="110"/>
      <c r="C9" s="10" t="s">
        <v>109</v>
      </c>
      <c r="D9" s="52">
        <f>1000000/11</f>
        <v>90909.090909090912</v>
      </c>
      <c r="E9" s="52">
        <f t="shared" ref="E9:J9" si="5">1000000/11</f>
        <v>90909.090909090912</v>
      </c>
      <c r="F9" s="52">
        <f t="shared" si="5"/>
        <v>90909.090909090912</v>
      </c>
      <c r="G9" s="52">
        <f t="shared" si="5"/>
        <v>90909.090909090912</v>
      </c>
      <c r="H9" s="52">
        <f t="shared" si="5"/>
        <v>90909.090909090912</v>
      </c>
      <c r="I9" s="52">
        <f t="shared" si="5"/>
        <v>90909.090909090912</v>
      </c>
      <c r="J9" s="52">
        <f t="shared" si="5"/>
        <v>90909.090909090912</v>
      </c>
      <c r="K9" s="52">
        <v>0</v>
      </c>
      <c r="L9" s="52">
        <v>0</v>
      </c>
      <c r="M9" s="52">
        <f t="shared" ref="M9:P9" si="6">1000000/11</f>
        <v>90909.090909090912</v>
      </c>
      <c r="N9" s="52">
        <f t="shared" si="6"/>
        <v>90909.090909090912</v>
      </c>
      <c r="O9" s="52">
        <f t="shared" si="6"/>
        <v>90909.090909090912</v>
      </c>
      <c r="P9" s="52">
        <f t="shared" si="6"/>
        <v>90909.090909090912</v>
      </c>
      <c r="Q9" s="52">
        <f>SUM(D9:P9)</f>
        <v>1000000.0000000002</v>
      </c>
      <c r="R9" s="53"/>
    </row>
    <row r="10" spans="1:18" ht="18" customHeight="1" x14ac:dyDescent="0.3">
      <c r="A10" s="110"/>
      <c r="B10" s="116"/>
      <c r="C10" s="1" t="s">
        <v>110</v>
      </c>
      <c r="D10" s="51">
        <f>800000/9</f>
        <v>88888.888888888891</v>
      </c>
      <c r="E10" s="51">
        <f t="shared" ref="E10:J10" si="7">800000/9</f>
        <v>88888.888888888891</v>
      </c>
      <c r="F10" s="51">
        <f t="shared" si="7"/>
        <v>88888.888888888891</v>
      </c>
      <c r="G10" s="51">
        <f t="shared" si="7"/>
        <v>88888.888888888891</v>
      </c>
      <c r="H10" s="51">
        <f t="shared" si="7"/>
        <v>88888.888888888891</v>
      </c>
      <c r="I10" s="51">
        <f t="shared" si="7"/>
        <v>88888.888888888891</v>
      </c>
      <c r="J10" s="51">
        <f t="shared" si="7"/>
        <v>88888.888888888891</v>
      </c>
      <c r="K10" s="51">
        <f t="shared" ref="K10:L10" si="8">X10/11</f>
        <v>0</v>
      </c>
      <c r="L10" s="51">
        <f t="shared" si="8"/>
        <v>0</v>
      </c>
      <c r="M10" s="51">
        <f>800000/9</f>
        <v>88888.888888888891</v>
      </c>
      <c r="N10" s="56">
        <v>100000</v>
      </c>
      <c r="O10" s="56">
        <v>0</v>
      </c>
      <c r="P10" s="56">
        <v>0</v>
      </c>
      <c r="Q10" s="52">
        <f>SUM(D10:M10)</f>
        <v>711111.11111111112</v>
      </c>
      <c r="R10" s="53"/>
    </row>
    <row r="11" spans="1:18" x14ac:dyDescent="0.3">
      <c r="A11" s="110"/>
      <c r="B11" s="2" t="s">
        <v>111</v>
      </c>
      <c r="C11" s="1" t="s">
        <v>112</v>
      </c>
      <c r="D11" s="7">
        <f>3000000/12</f>
        <v>250000</v>
      </c>
      <c r="E11" s="7">
        <f t="shared" ref="E11:N11" si="9">3000000/12</f>
        <v>250000</v>
      </c>
      <c r="F11" s="7">
        <f t="shared" si="9"/>
        <v>250000</v>
      </c>
      <c r="G11" s="7">
        <f t="shared" si="9"/>
        <v>250000</v>
      </c>
      <c r="H11" s="7">
        <f t="shared" si="9"/>
        <v>250000</v>
      </c>
      <c r="I11" s="7">
        <f t="shared" si="9"/>
        <v>250000</v>
      </c>
      <c r="J11" s="7">
        <f t="shared" si="9"/>
        <v>250000</v>
      </c>
      <c r="K11" s="7">
        <v>0</v>
      </c>
      <c r="L11" s="7">
        <v>0</v>
      </c>
      <c r="M11" s="7">
        <f t="shared" si="9"/>
        <v>250000</v>
      </c>
      <c r="N11" s="7">
        <f t="shared" si="9"/>
        <v>250000</v>
      </c>
      <c r="O11" s="7">
        <v>0</v>
      </c>
      <c r="P11" s="7">
        <v>0</v>
      </c>
      <c r="Q11" s="52">
        <f t="shared" si="1"/>
        <v>2250000</v>
      </c>
      <c r="R11" s="53"/>
    </row>
    <row r="12" spans="1:18" ht="32.4" x14ac:dyDescent="0.3">
      <c r="A12" s="110"/>
      <c r="B12" s="94" t="s">
        <v>113</v>
      </c>
      <c r="C12" s="1" t="s">
        <v>114</v>
      </c>
      <c r="D12" s="51">
        <f>(3600*24)</f>
        <v>86400</v>
      </c>
      <c r="E12" s="51">
        <f>(3600*24)+(5*1300)</f>
        <v>92900</v>
      </c>
      <c r="F12" s="51">
        <f>(21*3520)</f>
        <v>73920</v>
      </c>
      <c r="G12" s="51">
        <f>(23*3600)+(1300*1)</f>
        <v>84100</v>
      </c>
      <c r="H12" s="51">
        <f>(3600*2)+(14*1300)</f>
        <v>25400</v>
      </c>
      <c r="I12" s="51">
        <f>(3600*15)</f>
        <v>54000</v>
      </c>
      <c r="J12" s="51">
        <f>(3600*2)+(1300*25)</f>
        <v>39700</v>
      </c>
      <c r="K12" s="51">
        <f>(3600*16)</f>
        <v>57600</v>
      </c>
      <c r="L12" s="51">
        <f>(1300*15)</f>
        <v>19500</v>
      </c>
      <c r="M12" s="51">
        <f>(3600*12)+(1300*1)</f>
        <v>44500</v>
      </c>
      <c r="N12" s="56">
        <f>(3600*100)</f>
        <v>360000</v>
      </c>
      <c r="O12" s="7">
        <v>3600</v>
      </c>
      <c r="P12" s="7">
        <v>0</v>
      </c>
      <c r="Q12" s="52">
        <f t="shared" si="1"/>
        <v>938020</v>
      </c>
      <c r="R12" s="53"/>
    </row>
    <row r="13" spans="1:18" ht="32.4" x14ac:dyDescent="0.3">
      <c r="A13" s="110"/>
      <c r="B13" s="94"/>
      <c r="C13" s="16" t="s">
        <v>115</v>
      </c>
      <c r="D13" s="52">
        <f>(180*27)*12</f>
        <v>58320</v>
      </c>
      <c r="E13" s="52">
        <f>(180*28)*12</f>
        <v>60480</v>
      </c>
      <c r="F13" s="52">
        <f>(180*31)*12</f>
        <v>66960</v>
      </c>
      <c r="G13" s="52">
        <f>(180*30)*12</f>
        <v>64800</v>
      </c>
      <c r="H13" s="52">
        <f>(180*30)*12</f>
        <v>64800</v>
      </c>
      <c r="I13" s="52">
        <f>(180*25)*12</f>
        <v>54000</v>
      </c>
      <c r="J13" s="52">
        <f>(180*30)*12</f>
        <v>64800</v>
      </c>
      <c r="K13" s="52">
        <f>(180*22)*12</f>
        <v>47520</v>
      </c>
      <c r="L13" s="52">
        <f>(180*20)*12</f>
        <v>43200</v>
      </c>
      <c r="M13" s="52">
        <f>(180*22)*12</f>
        <v>47520</v>
      </c>
      <c r="N13" s="52">
        <f>(180*100)*12</f>
        <v>216000</v>
      </c>
      <c r="O13" s="7">
        <v>0</v>
      </c>
      <c r="P13" s="7">
        <v>0</v>
      </c>
      <c r="Q13" s="52">
        <f t="shared" si="1"/>
        <v>788400</v>
      </c>
      <c r="R13" s="53"/>
    </row>
    <row r="14" spans="1:18" x14ac:dyDescent="0.3">
      <c r="A14" s="116"/>
      <c r="B14" s="94"/>
      <c r="C14" s="16" t="s">
        <v>116</v>
      </c>
      <c r="D14" s="52">
        <f>(Q14/10)</f>
        <v>30525</v>
      </c>
      <c r="E14" s="52">
        <f>(Q14/10)</f>
        <v>30525</v>
      </c>
      <c r="F14" s="52">
        <f>(Q14/10)</f>
        <v>30525</v>
      </c>
      <c r="G14" s="52">
        <f>(Q14/10)</f>
        <v>30525</v>
      </c>
      <c r="H14" s="52">
        <f>(Q14/10)</f>
        <v>30525</v>
      </c>
      <c r="I14" s="52">
        <f>(Q14/10)</f>
        <v>30525</v>
      </c>
      <c r="J14" s="52">
        <f>(Q14/10)</f>
        <v>30525</v>
      </c>
      <c r="K14" s="52">
        <f>(Q14/10)</f>
        <v>30525</v>
      </c>
      <c r="L14" s="52">
        <f>(Q14/10)</f>
        <v>30525</v>
      </c>
      <c r="M14" s="52">
        <v>0</v>
      </c>
      <c r="N14" s="57">
        <v>0</v>
      </c>
      <c r="O14" s="7">
        <v>0</v>
      </c>
      <c r="P14" s="7">
        <v>0</v>
      </c>
      <c r="Q14" s="52">
        <v>305250</v>
      </c>
      <c r="R14" s="53"/>
    </row>
    <row r="15" spans="1:18" x14ac:dyDescent="0.3">
      <c r="A15" s="94" t="s">
        <v>117</v>
      </c>
      <c r="B15" s="117" t="s">
        <v>44</v>
      </c>
      <c r="C15" s="21" t="s">
        <v>118</v>
      </c>
      <c r="D15" s="52">
        <f t="shared" ref="D15:M15" si="10">1500*27</f>
        <v>40500</v>
      </c>
      <c r="E15" s="52">
        <f t="shared" si="10"/>
        <v>40500</v>
      </c>
      <c r="F15" s="52">
        <f t="shared" si="10"/>
        <v>40500</v>
      </c>
      <c r="G15" s="52">
        <f t="shared" si="10"/>
        <v>40500</v>
      </c>
      <c r="H15" s="52">
        <f t="shared" si="10"/>
        <v>40500</v>
      </c>
      <c r="I15" s="52">
        <f t="shared" si="10"/>
        <v>40500</v>
      </c>
      <c r="J15" s="52">
        <f t="shared" si="10"/>
        <v>40500</v>
      </c>
      <c r="K15" s="52">
        <f t="shared" si="10"/>
        <v>40500</v>
      </c>
      <c r="L15" s="52">
        <f t="shared" si="10"/>
        <v>40500</v>
      </c>
      <c r="M15" s="52">
        <f t="shared" si="10"/>
        <v>40500</v>
      </c>
      <c r="N15" s="57">
        <f>1500*100</f>
        <v>150000</v>
      </c>
      <c r="O15" s="7">
        <v>0</v>
      </c>
      <c r="P15" s="7">
        <v>0</v>
      </c>
      <c r="Q15" s="52">
        <f t="shared" ref="Q15:Q28" si="11">SUM(D15:P15)</f>
        <v>555000</v>
      </c>
      <c r="R15" s="53"/>
    </row>
    <row r="16" spans="1:18" x14ac:dyDescent="0.3">
      <c r="A16" s="94"/>
      <c r="B16" s="96"/>
      <c r="C16" s="1" t="s">
        <v>50</v>
      </c>
      <c r="D16" s="52">
        <f>1000000/12</f>
        <v>83333.333333333328</v>
      </c>
      <c r="E16" s="52">
        <f t="shared" ref="E16:N17" si="12">1000000/12</f>
        <v>83333.333333333328</v>
      </c>
      <c r="F16" s="52">
        <f t="shared" si="12"/>
        <v>83333.333333333328</v>
      </c>
      <c r="G16" s="52">
        <f t="shared" si="12"/>
        <v>83333.333333333328</v>
      </c>
      <c r="H16" s="52">
        <f t="shared" si="12"/>
        <v>83333.333333333328</v>
      </c>
      <c r="I16" s="52">
        <f t="shared" si="12"/>
        <v>83333.333333333328</v>
      </c>
      <c r="J16" s="52">
        <f t="shared" si="12"/>
        <v>83333.333333333328</v>
      </c>
      <c r="K16" s="52">
        <f t="shared" si="12"/>
        <v>83333.333333333328</v>
      </c>
      <c r="L16" s="52">
        <f t="shared" si="12"/>
        <v>83333.333333333328</v>
      </c>
      <c r="M16" s="52">
        <f t="shared" si="12"/>
        <v>83333.333333333328</v>
      </c>
      <c r="N16" s="57">
        <f t="shared" si="12"/>
        <v>83333.333333333328</v>
      </c>
      <c r="O16" s="7">
        <v>0</v>
      </c>
      <c r="P16" s="7">
        <v>0</v>
      </c>
      <c r="Q16" s="52">
        <f t="shared" si="11"/>
        <v>916666.66666666674</v>
      </c>
      <c r="R16" s="53"/>
    </row>
    <row r="17" spans="1:18" x14ac:dyDescent="0.3">
      <c r="A17" s="94"/>
      <c r="B17" s="118"/>
      <c r="C17" s="1" t="s">
        <v>119</v>
      </c>
      <c r="D17" s="57">
        <f t="shared" ref="D17" si="13">1000000/12</f>
        <v>83333.333333333328</v>
      </c>
      <c r="E17" s="57">
        <f t="shared" si="12"/>
        <v>83333.333333333328</v>
      </c>
      <c r="F17" s="57">
        <f t="shared" si="12"/>
        <v>83333.333333333328</v>
      </c>
      <c r="G17" s="57">
        <f t="shared" si="12"/>
        <v>83333.333333333328</v>
      </c>
      <c r="H17" s="57">
        <f t="shared" si="12"/>
        <v>83333.333333333328</v>
      </c>
      <c r="I17" s="57">
        <f t="shared" si="12"/>
        <v>83333.333333333328</v>
      </c>
      <c r="J17" s="57">
        <f t="shared" si="12"/>
        <v>83333.333333333328</v>
      </c>
      <c r="K17" s="57">
        <f t="shared" si="12"/>
        <v>83333.333333333328</v>
      </c>
      <c r="L17" s="57">
        <f t="shared" si="12"/>
        <v>83333.333333333328</v>
      </c>
      <c r="M17" s="57">
        <f t="shared" si="12"/>
        <v>83333.333333333328</v>
      </c>
      <c r="N17" s="57">
        <f>1000000/12</f>
        <v>83333.333333333328</v>
      </c>
      <c r="O17" s="7">
        <v>0</v>
      </c>
      <c r="P17" s="7">
        <v>0</v>
      </c>
      <c r="Q17" s="52">
        <f t="shared" si="11"/>
        <v>916666.66666666674</v>
      </c>
      <c r="R17" s="53"/>
    </row>
    <row r="18" spans="1:18" x14ac:dyDescent="0.3">
      <c r="A18" s="94"/>
      <c r="B18" s="117" t="s">
        <v>120</v>
      </c>
      <c r="C18" s="10" t="s">
        <v>121</v>
      </c>
      <c r="D18" s="52">
        <f>100000/12</f>
        <v>8333.3333333333339</v>
      </c>
      <c r="E18" s="52">
        <f t="shared" ref="E18:P18" si="14">100000/12</f>
        <v>8333.3333333333339</v>
      </c>
      <c r="F18" s="52">
        <f t="shared" si="14"/>
        <v>8333.3333333333339</v>
      </c>
      <c r="G18" s="52">
        <f t="shared" si="14"/>
        <v>8333.3333333333339</v>
      </c>
      <c r="H18" s="52">
        <f t="shared" si="14"/>
        <v>8333.3333333333339</v>
      </c>
      <c r="I18" s="52">
        <f t="shared" si="14"/>
        <v>8333.3333333333339</v>
      </c>
      <c r="J18" s="52">
        <f t="shared" si="14"/>
        <v>8333.3333333333339</v>
      </c>
      <c r="K18" s="52">
        <v>0</v>
      </c>
      <c r="L18" s="52">
        <v>0</v>
      </c>
      <c r="M18" s="52">
        <f t="shared" si="14"/>
        <v>8333.3333333333339</v>
      </c>
      <c r="N18" s="52">
        <f t="shared" si="14"/>
        <v>8333.3333333333339</v>
      </c>
      <c r="O18" s="52">
        <f t="shared" si="14"/>
        <v>8333.3333333333339</v>
      </c>
      <c r="P18" s="52">
        <f t="shared" si="14"/>
        <v>8333.3333333333339</v>
      </c>
      <c r="Q18" s="52">
        <f>SUM(D18:P18)</f>
        <v>91666.666666666657</v>
      </c>
      <c r="R18" s="53"/>
    </row>
    <row r="19" spans="1:18" x14ac:dyDescent="0.3">
      <c r="A19" s="94"/>
      <c r="B19" s="118"/>
      <c r="C19" s="10" t="s">
        <v>122</v>
      </c>
      <c r="D19" s="52">
        <v>100000</v>
      </c>
      <c r="E19" s="52">
        <v>100000</v>
      </c>
      <c r="F19" s="52">
        <v>100000</v>
      </c>
      <c r="G19" s="52">
        <v>100000</v>
      </c>
      <c r="H19" s="52">
        <v>100000</v>
      </c>
      <c r="I19" s="52">
        <v>100000</v>
      </c>
      <c r="J19" s="52">
        <v>100000</v>
      </c>
      <c r="K19" s="52">
        <v>0</v>
      </c>
      <c r="L19" s="52">
        <v>0</v>
      </c>
      <c r="M19" s="52">
        <v>100000</v>
      </c>
      <c r="N19" s="52">
        <v>100000</v>
      </c>
      <c r="O19" s="7">
        <v>0</v>
      </c>
      <c r="P19" s="7">
        <v>0</v>
      </c>
      <c r="Q19" s="52">
        <f>SUM(D19:P19)</f>
        <v>900000</v>
      </c>
      <c r="R19" s="53"/>
    </row>
    <row r="20" spans="1:18" x14ac:dyDescent="0.3">
      <c r="A20" s="94"/>
      <c r="B20" s="117" t="s">
        <v>123</v>
      </c>
      <c r="C20" s="10" t="s">
        <v>124</v>
      </c>
      <c r="D20" s="52">
        <f>100000/8</f>
        <v>12500</v>
      </c>
      <c r="E20" s="52">
        <f t="shared" ref="E20:L20" si="15">100000/8</f>
        <v>12500</v>
      </c>
      <c r="F20" s="52">
        <f t="shared" si="15"/>
        <v>12500</v>
      </c>
      <c r="G20" s="52">
        <v>0</v>
      </c>
      <c r="H20" s="52">
        <f t="shared" si="15"/>
        <v>12500</v>
      </c>
      <c r="I20" s="52">
        <f t="shared" si="15"/>
        <v>12500</v>
      </c>
      <c r="J20" s="52">
        <f t="shared" si="15"/>
        <v>12500</v>
      </c>
      <c r="K20" s="52">
        <f t="shared" si="15"/>
        <v>12500</v>
      </c>
      <c r="L20" s="52">
        <f t="shared" si="15"/>
        <v>12500</v>
      </c>
      <c r="M20" s="52">
        <v>0</v>
      </c>
      <c r="N20" s="52">
        <v>0</v>
      </c>
      <c r="O20" s="7">
        <v>0</v>
      </c>
      <c r="P20" s="7">
        <v>0</v>
      </c>
      <c r="Q20" s="52">
        <f t="shared" si="11"/>
        <v>100000</v>
      </c>
      <c r="R20" s="53"/>
    </row>
    <row r="21" spans="1:18" x14ac:dyDescent="0.3">
      <c r="A21" s="94"/>
      <c r="B21" s="118"/>
      <c r="C21" s="10" t="s">
        <v>125</v>
      </c>
      <c r="D21" s="52">
        <f>100000/6</f>
        <v>16666.666666666668</v>
      </c>
      <c r="E21" s="52">
        <f t="shared" ref="E21:J21" si="16">100000/6</f>
        <v>16666.666666666668</v>
      </c>
      <c r="F21" s="52">
        <f t="shared" si="16"/>
        <v>16666.666666666668</v>
      </c>
      <c r="G21" s="52">
        <v>0</v>
      </c>
      <c r="H21" s="52">
        <f t="shared" si="16"/>
        <v>16666.666666666668</v>
      </c>
      <c r="I21" s="52">
        <f t="shared" si="16"/>
        <v>16666.666666666668</v>
      </c>
      <c r="J21" s="52">
        <f t="shared" si="16"/>
        <v>16666.666666666668</v>
      </c>
      <c r="K21" s="52">
        <v>0</v>
      </c>
      <c r="L21" s="52">
        <v>0</v>
      </c>
      <c r="M21" s="52">
        <v>0</v>
      </c>
      <c r="N21" s="52">
        <v>0</v>
      </c>
      <c r="O21" s="7">
        <v>0</v>
      </c>
      <c r="P21" s="7">
        <v>0</v>
      </c>
      <c r="Q21" s="52">
        <f>SUM(D21:P21)</f>
        <v>100000.00000000001</v>
      </c>
      <c r="R21" s="53"/>
    </row>
    <row r="22" spans="1:18" ht="32.4" x14ac:dyDescent="0.3">
      <c r="A22" s="94"/>
      <c r="B22" s="20" t="s">
        <v>60</v>
      </c>
      <c r="C22" s="1" t="s">
        <v>61</v>
      </c>
      <c r="D22" s="52">
        <v>100000</v>
      </c>
      <c r="E22" s="52">
        <v>100000</v>
      </c>
      <c r="F22" s="52">
        <v>100000</v>
      </c>
      <c r="G22" s="52">
        <v>100000</v>
      </c>
      <c r="H22" s="52">
        <v>100000</v>
      </c>
      <c r="I22" s="52">
        <v>100000</v>
      </c>
      <c r="J22" s="52">
        <v>100000</v>
      </c>
      <c r="K22" s="52">
        <v>0</v>
      </c>
      <c r="L22" s="52">
        <v>0</v>
      </c>
      <c r="M22" s="52">
        <v>100000</v>
      </c>
      <c r="N22" s="52">
        <v>100000</v>
      </c>
      <c r="O22" s="52">
        <v>10000</v>
      </c>
      <c r="P22" s="52">
        <v>10000</v>
      </c>
      <c r="Q22" s="52">
        <f t="shared" si="11"/>
        <v>920000</v>
      </c>
      <c r="R22" s="53"/>
    </row>
    <row r="23" spans="1:18" x14ac:dyDescent="0.3">
      <c r="A23" s="94"/>
      <c r="B23" s="95" t="s">
        <v>63</v>
      </c>
      <c r="C23" s="1" t="s">
        <v>64</v>
      </c>
      <c r="D23" s="52">
        <f>1500000/12</f>
        <v>125000</v>
      </c>
      <c r="E23" s="52">
        <f t="shared" ref="E23:M23" si="17">1500000/12</f>
        <v>125000</v>
      </c>
      <c r="F23" s="52">
        <f t="shared" si="17"/>
        <v>125000</v>
      </c>
      <c r="G23" s="52">
        <f t="shared" si="17"/>
        <v>125000</v>
      </c>
      <c r="H23" s="52">
        <f t="shared" si="17"/>
        <v>125000</v>
      </c>
      <c r="I23" s="52">
        <f t="shared" si="17"/>
        <v>125000</v>
      </c>
      <c r="J23" s="52">
        <f t="shared" si="17"/>
        <v>125000</v>
      </c>
      <c r="K23" s="52">
        <v>0</v>
      </c>
      <c r="L23" s="52">
        <v>0</v>
      </c>
      <c r="M23" s="52">
        <f t="shared" si="17"/>
        <v>125000</v>
      </c>
      <c r="N23" s="52">
        <f>1500000/12</f>
        <v>125000</v>
      </c>
      <c r="O23" s="52">
        <v>0</v>
      </c>
      <c r="P23" s="52">
        <v>0</v>
      </c>
      <c r="Q23" s="52">
        <f t="shared" si="11"/>
        <v>1125000</v>
      </c>
      <c r="R23" s="53"/>
    </row>
    <row r="24" spans="1:18" x14ac:dyDescent="0.3">
      <c r="A24" s="94"/>
      <c r="B24" s="95"/>
      <c r="C24" s="1" t="s">
        <v>67</v>
      </c>
      <c r="D24" s="24">
        <f>1000000/12</f>
        <v>83333.333333333328</v>
      </c>
      <c r="E24" s="24">
        <f>1000000/12</f>
        <v>83333.333333333328</v>
      </c>
      <c r="F24" s="24">
        <f t="shared" ref="F24:J24" si="18">1000000/12</f>
        <v>83333.333333333328</v>
      </c>
      <c r="G24" s="24">
        <f t="shared" si="18"/>
        <v>83333.333333333328</v>
      </c>
      <c r="H24" s="24">
        <f t="shared" si="18"/>
        <v>83333.333333333328</v>
      </c>
      <c r="I24" s="24">
        <f t="shared" si="18"/>
        <v>83333.333333333328</v>
      </c>
      <c r="J24" s="24">
        <f t="shared" si="18"/>
        <v>83333.333333333328</v>
      </c>
      <c r="K24" s="24">
        <v>0</v>
      </c>
      <c r="L24" s="24">
        <v>0</v>
      </c>
      <c r="M24" s="24">
        <f t="shared" ref="M24" si="19">1000000/12</f>
        <v>83333.333333333328</v>
      </c>
      <c r="N24" s="24">
        <f>1000000/12</f>
        <v>83333.333333333328</v>
      </c>
      <c r="O24" s="52">
        <v>0</v>
      </c>
      <c r="P24" s="52">
        <v>0</v>
      </c>
      <c r="Q24" s="52">
        <f t="shared" si="11"/>
        <v>750000</v>
      </c>
      <c r="R24" s="53"/>
    </row>
    <row r="25" spans="1:18" x14ac:dyDescent="0.3">
      <c r="A25" s="94"/>
      <c r="B25" s="95"/>
      <c r="C25" s="1" t="s">
        <v>69</v>
      </c>
      <c r="D25" s="52">
        <f>500000/12</f>
        <v>41666.666666666664</v>
      </c>
      <c r="E25" s="52">
        <f t="shared" ref="E25:N25" si="20">500000/12</f>
        <v>41666.666666666664</v>
      </c>
      <c r="F25" s="52">
        <f t="shared" si="20"/>
        <v>41666.666666666664</v>
      </c>
      <c r="G25" s="52">
        <f t="shared" si="20"/>
        <v>41666.666666666664</v>
      </c>
      <c r="H25" s="52">
        <f t="shared" si="20"/>
        <v>41666.666666666664</v>
      </c>
      <c r="I25" s="52">
        <f t="shared" si="20"/>
        <v>41666.666666666664</v>
      </c>
      <c r="J25" s="52">
        <f t="shared" si="20"/>
        <v>41666.666666666664</v>
      </c>
      <c r="K25" s="52">
        <f t="shared" si="20"/>
        <v>41666.666666666664</v>
      </c>
      <c r="L25" s="52">
        <f t="shared" si="20"/>
        <v>41666.666666666664</v>
      </c>
      <c r="M25" s="52">
        <f t="shared" si="20"/>
        <v>41666.666666666664</v>
      </c>
      <c r="N25" s="52">
        <f t="shared" si="20"/>
        <v>41666.666666666664</v>
      </c>
      <c r="O25" s="52">
        <v>0</v>
      </c>
      <c r="P25" s="52">
        <v>0</v>
      </c>
      <c r="Q25" s="52">
        <f t="shared" si="11"/>
        <v>458333.33333333337</v>
      </c>
      <c r="R25" s="53"/>
    </row>
    <row r="26" spans="1:18" x14ac:dyDescent="0.3">
      <c r="A26" s="94" t="s">
        <v>126</v>
      </c>
      <c r="B26" s="34" t="s">
        <v>74</v>
      </c>
      <c r="C26" s="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</row>
    <row r="27" spans="1:18" x14ac:dyDescent="0.3">
      <c r="A27" s="94"/>
      <c r="B27" s="2"/>
      <c r="C27" s="21" t="s">
        <v>77</v>
      </c>
      <c r="D27" s="52">
        <f>800000/8</f>
        <v>100000</v>
      </c>
      <c r="E27" s="52">
        <f t="shared" ref="E27:J27" si="21">800000/8</f>
        <v>100000</v>
      </c>
      <c r="F27" s="52">
        <f t="shared" si="21"/>
        <v>100000</v>
      </c>
      <c r="G27" s="52">
        <f t="shared" si="21"/>
        <v>100000</v>
      </c>
      <c r="H27" s="52">
        <f t="shared" si="21"/>
        <v>100000</v>
      </c>
      <c r="I27" s="52">
        <f t="shared" si="21"/>
        <v>100000</v>
      </c>
      <c r="J27" s="52">
        <f t="shared" si="21"/>
        <v>100000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f t="shared" si="11"/>
        <v>700000</v>
      </c>
      <c r="R27" s="53"/>
    </row>
    <row r="28" spans="1:18" x14ac:dyDescent="0.3">
      <c r="A28" s="94"/>
      <c r="B28" s="58" t="s">
        <v>79</v>
      </c>
      <c r="C28" s="10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>
        <f t="shared" si="11"/>
        <v>0</v>
      </c>
      <c r="R28" s="53"/>
    </row>
    <row r="29" spans="1:18" x14ac:dyDescent="0.3">
      <c r="A29" s="94"/>
      <c r="B29" s="2"/>
      <c r="C29" s="21" t="s">
        <v>80</v>
      </c>
      <c r="D29" s="59">
        <f t="shared" ref="D29:J29" si="22">3000000/10</f>
        <v>300000</v>
      </c>
      <c r="E29" s="59">
        <f t="shared" si="22"/>
        <v>300000</v>
      </c>
      <c r="F29" s="59">
        <f t="shared" si="22"/>
        <v>300000</v>
      </c>
      <c r="G29" s="59">
        <f t="shared" si="22"/>
        <v>300000</v>
      </c>
      <c r="H29" s="59">
        <f t="shared" si="22"/>
        <v>300000</v>
      </c>
      <c r="I29" s="59">
        <f t="shared" si="22"/>
        <v>300000</v>
      </c>
      <c r="J29" s="59">
        <f t="shared" si="22"/>
        <v>300000</v>
      </c>
      <c r="K29" s="59">
        <v>0</v>
      </c>
      <c r="L29" s="59">
        <v>0</v>
      </c>
      <c r="M29" s="59">
        <f>3000000/10</f>
        <v>300000</v>
      </c>
      <c r="N29" s="59">
        <f>3000000/10</f>
        <v>300000</v>
      </c>
      <c r="O29" s="52">
        <v>0</v>
      </c>
      <c r="P29" s="52">
        <v>0</v>
      </c>
      <c r="Q29" s="52">
        <f t="shared" ref="Q29" si="23">SUM(D29:P29)</f>
        <v>2700000</v>
      </c>
      <c r="R29" s="53"/>
    </row>
    <row r="30" spans="1:18" x14ac:dyDescent="0.3">
      <c r="C30" s="60" t="s">
        <v>127</v>
      </c>
      <c r="D30" s="61">
        <f t="shared" ref="D30:Q30" si="24">SUM(D2:D29)</f>
        <v>1952452.7113997114</v>
      </c>
      <c r="E30" s="61">
        <f t="shared" si="24"/>
        <v>1962992.7113997114</v>
      </c>
      <c r="F30" s="61">
        <f t="shared" si="24"/>
        <v>1937364.7113997114</v>
      </c>
      <c r="G30" s="61">
        <f t="shared" si="24"/>
        <v>1917723.0447330447</v>
      </c>
      <c r="H30" s="61">
        <f t="shared" si="24"/>
        <v>1884429.7113997114</v>
      </c>
      <c r="I30" s="61">
        <f t="shared" si="24"/>
        <v>1915356.7113997114</v>
      </c>
      <c r="J30" s="61">
        <f t="shared" si="24"/>
        <v>1903992.7113997114</v>
      </c>
      <c r="K30" s="61">
        <f t="shared" si="24"/>
        <v>602013.96969696961</v>
      </c>
      <c r="L30" s="61">
        <f t="shared" si="24"/>
        <v>548345.96969696961</v>
      </c>
      <c r="M30" s="61">
        <f t="shared" si="24"/>
        <v>1596498.9797979798</v>
      </c>
      <c r="N30" s="61">
        <f t="shared" si="24"/>
        <v>2183641.0909090908</v>
      </c>
      <c r="O30" s="61">
        <f t="shared" si="24"/>
        <v>113970.42424242424</v>
      </c>
      <c r="P30" s="61">
        <f t="shared" si="24"/>
        <v>122402.42424242424</v>
      </c>
      <c r="Q30" s="61">
        <f t="shared" si="24"/>
        <v>18568110.171717171</v>
      </c>
      <c r="R30" s="53"/>
    </row>
    <row r="32" spans="1:18" x14ac:dyDescent="0.3">
      <c r="D32" s="62">
        <v>2023</v>
      </c>
      <c r="E32" s="62">
        <v>2024</v>
      </c>
      <c r="F32" s="62">
        <v>2025</v>
      </c>
      <c r="G32" s="62">
        <v>2026</v>
      </c>
      <c r="H32" s="62">
        <v>2027</v>
      </c>
    </row>
    <row r="33" spans="3:12" x14ac:dyDescent="0.3">
      <c r="C33" s="64" t="s">
        <v>128</v>
      </c>
      <c r="D33" s="65">
        <f>'[1]2023預算'!$D$45</f>
        <v>9800000</v>
      </c>
      <c r="E33" s="65">
        <f>'2024預算(總處)'!$D$50</f>
        <v>7300000</v>
      </c>
      <c r="F33" s="65">
        <f>'[1]2025預算'!$D$45</f>
        <v>4500000</v>
      </c>
      <c r="G33" s="65">
        <f>'[1]2026預算'!$D$45</f>
        <v>1500000</v>
      </c>
      <c r="H33" s="65">
        <f>'[1]2027預算'!$D$45</f>
        <v>6500000</v>
      </c>
    </row>
    <row r="34" spans="3:12" x14ac:dyDescent="0.3">
      <c r="C34" s="66" t="s">
        <v>129</v>
      </c>
      <c r="D34" s="67">
        <f>'[1]2023預算'!$D$46</f>
        <v>5400579.4573643412</v>
      </c>
      <c r="E34" s="67">
        <f>'2024預算(總處)'!$D$51</f>
        <v>9885573.9797979817</v>
      </c>
      <c r="F34" s="67">
        <f>'[1]2025預算'!$D$46</f>
        <v>13893220.790697671</v>
      </c>
      <c r="G34" s="67">
        <f>'[1]2026預算'!$D$46</f>
        <v>8134970.7906976752</v>
      </c>
      <c r="H34" s="67">
        <f>'[1]2027預算'!$D$46</f>
        <v>7418454.1400000006</v>
      </c>
    </row>
    <row r="35" spans="3:12" x14ac:dyDescent="0.3">
      <c r="L35" s="68"/>
    </row>
  </sheetData>
  <sheetProtection algorithmName="SHA-512" hashValue="ZM5iNTeLLmPyPtAs17jZSLEA6b7As8HgN4Qn9EFexhxhWcZWQhXpBaU5zWBCpHxufZVS+Gm072NZf5gxvOdomw==" saltValue="6SvlB2v3L7F1KeSoFuZnPw==" spinCount="100000" sheet="1" objects="1" scenarios="1"/>
  <mergeCells count="11">
    <mergeCell ref="A26:A29"/>
    <mergeCell ref="B1:C1"/>
    <mergeCell ref="A2:A14"/>
    <mergeCell ref="B2:B3"/>
    <mergeCell ref="B4:B10"/>
    <mergeCell ref="B12:B14"/>
    <mergeCell ref="A15:A25"/>
    <mergeCell ref="B15:B17"/>
    <mergeCell ref="B18:B19"/>
    <mergeCell ref="B20:B21"/>
    <mergeCell ref="B23:B25"/>
  </mergeCells>
  <phoneticPr fontId="4" type="noConversion"/>
  <pageMargins left="0.25" right="0.25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CE2FB-A820-41D3-B14F-81A53F9C1EDC}">
  <dimension ref="A1:P45"/>
  <sheetViews>
    <sheetView zoomScale="85" zoomScaleNormal="85" workbookViewId="0">
      <selection activeCell="C4" sqref="C4"/>
    </sheetView>
  </sheetViews>
  <sheetFormatPr defaultRowHeight="16.2" x14ac:dyDescent="0.3"/>
  <cols>
    <col min="1" max="1" width="18.44140625" customWidth="1"/>
    <col min="2" max="2" width="11.77734375" customWidth="1"/>
    <col min="3" max="3" width="44.5546875" customWidth="1"/>
    <col min="4" max="15" width="7.88671875" style="80" customWidth="1"/>
    <col min="16" max="16" width="3.5546875" customWidth="1"/>
  </cols>
  <sheetData>
    <row r="1" spans="1:16" ht="18" customHeight="1" x14ac:dyDescent="0.3">
      <c r="A1" s="73" t="s">
        <v>136</v>
      </c>
      <c r="B1" s="73"/>
      <c r="C1" s="74" t="s">
        <v>137</v>
      </c>
      <c r="D1" s="74" t="s">
        <v>138</v>
      </c>
      <c r="E1" s="74" t="s">
        <v>139</v>
      </c>
      <c r="F1" s="74" t="s">
        <v>140</v>
      </c>
      <c r="G1" s="74" t="s">
        <v>141</v>
      </c>
      <c r="H1" s="74" t="s">
        <v>142</v>
      </c>
      <c r="I1" s="74" t="s">
        <v>143</v>
      </c>
      <c r="J1" s="74" t="s">
        <v>144</v>
      </c>
      <c r="K1" s="74" t="s">
        <v>145</v>
      </c>
      <c r="L1" s="74" t="s">
        <v>146</v>
      </c>
      <c r="M1" s="74" t="s">
        <v>147</v>
      </c>
      <c r="N1" s="74" t="s">
        <v>148</v>
      </c>
      <c r="O1" s="74" t="s">
        <v>149</v>
      </c>
    </row>
    <row r="2" spans="1:16" x14ac:dyDescent="0.3">
      <c r="A2" s="111" t="s">
        <v>150</v>
      </c>
      <c r="B2" s="75" t="s">
        <v>151</v>
      </c>
      <c r="C2" s="53" t="s">
        <v>152</v>
      </c>
      <c r="D2" s="120"/>
      <c r="E2" s="120"/>
      <c r="F2" s="120"/>
      <c r="G2" s="120"/>
      <c r="H2" s="120"/>
      <c r="I2" s="120"/>
      <c r="J2" s="120"/>
      <c r="K2" s="120"/>
      <c r="L2" s="121"/>
      <c r="M2" s="121"/>
      <c r="N2" s="121"/>
      <c r="O2" s="122"/>
      <c r="P2" s="129" t="s">
        <v>207</v>
      </c>
    </row>
    <row r="3" spans="1:16" x14ac:dyDescent="0.3">
      <c r="A3" s="111"/>
      <c r="B3" s="75" t="s">
        <v>151</v>
      </c>
      <c r="C3" s="53" t="s">
        <v>153</v>
      </c>
      <c r="D3" s="120"/>
      <c r="E3" s="120"/>
      <c r="F3" s="120"/>
      <c r="G3" s="120"/>
      <c r="H3" s="120"/>
      <c r="I3" s="120"/>
      <c r="J3" s="120"/>
      <c r="K3" s="120"/>
      <c r="L3" s="121"/>
      <c r="M3" s="121"/>
      <c r="N3" s="121"/>
      <c r="O3" s="122"/>
      <c r="P3" s="130"/>
    </row>
    <row r="4" spans="1:16" x14ac:dyDescent="0.3">
      <c r="A4" s="111"/>
      <c r="B4" s="75" t="s">
        <v>151</v>
      </c>
      <c r="C4" s="53" t="s">
        <v>154</v>
      </c>
      <c r="D4" s="120"/>
      <c r="E4" s="120"/>
      <c r="F4" s="120"/>
      <c r="G4" s="122"/>
      <c r="H4" s="120"/>
      <c r="I4" s="120"/>
      <c r="J4" s="120"/>
      <c r="K4" s="120"/>
      <c r="L4" s="120"/>
      <c r="M4" s="120"/>
      <c r="N4" s="120"/>
      <c r="O4" s="120"/>
      <c r="P4" s="130"/>
    </row>
    <row r="5" spans="1:16" x14ac:dyDescent="0.3">
      <c r="A5" s="111"/>
      <c r="B5" s="75" t="s">
        <v>155</v>
      </c>
      <c r="C5" s="53" t="s">
        <v>156</v>
      </c>
      <c r="D5" s="120"/>
      <c r="E5" s="120"/>
      <c r="F5" s="120"/>
      <c r="G5" s="121"/>
      <c r="H5" s="120"/>
      <c r="I5" s="121"/>
      <c r="J5" s="120"/>
      <c r="K5" s="120"/>
      <c r="L5" s="120"/>
      <c r="M5" s="120"/>
      <c r="N5" s="122"/>
      <c r="O5" s="120"/>
      <c r="P5" s="130"/>
    </row>
    <row r="6" spans="1:16" x14ac:dyDescent="0.3">
      <c r="A6" s="111"/>
      <c r="B6" s="75" t="s">
        <v>157</v>
      </c>
      <c r="C6" s="73" t="s">
        <v>158</v>
      </c>
      <c r="D6" s="120"/>
      <c r="E6" s="120"/>
      <c r="F6" s="120"/>
      <c r="G6" s="120"/>
      <c r="H6" s="120"/>
      <c r="I6" s="120"/>
      <c r="J6" s="122"/>
      <c r="K6" s="120"/>
      <c r="L6" s="120"/>
      <c r="M6" s="120"/>
      <c r="N6" s="120"/>
      <c r="O6" s="120"/>
      <c r="P6" s="130"/>
    </row>
    <row r="7" spans="1:16" x14ac:dyDescent="0.3">
      <c r="A7" s="111"/>
      <c r="B7" s="76" t="s">
        <v>159</v>
      </c>
      <c r="C7" s="53" t="s">
        <v>160</v>
      </c>
      <c r="D7" s="120"/>
      <c r="E7" s="120"/>
      <c r="F7" s="120"/>
      <c r="G7" s="120"/>
      <c r="H7" s="120"/>
      <c r="I7" s="120"/>
      <c r="J7" s="120"/>
      <c r="K7" s="120"/>
      <c r="L7" s="120"/>
      <c r="M7" s="122"/>
      <c r="N7" s="120"/>
      <c r="O7" s="120"/>
      <c r="P7" s="130"/>
    </row>
    <row r="8" spans="1:16" x14ac:dyDescent="0.3">
      <c r="A8" s="111"/>
      <c r="B8" s="75" t="s">
        <v>161</v>
      </c>
      <c r="C8" s="53" t="s">
        <v>162</v>
      </c>
      <c r="D8" s="120"/>
      <c r="E8" s="122"/>
      <c r="F8" s="121"/>
      <c r="G8" s="121"/>
      <c r="H8" s="121"/>
      <c r="I8" s="121"/>
      <c r="J8" s="121"/>
      <c r="K8" s="121"/>
      <c r="L8" s="121"/>
      <c r="M8" s="121"/>
      <c r="N8" s="120"/>
      <c r="O8" s="120"/>
      <c r="P8" s="130"/>
    </row>
    <row r="9" spans="1:16" x14ac:dyDescent="0.3">
      <c r="A9" s="111"/>
      <c r="B9" s="75" t="s">
        <v>163</v>
      </c>
      <c r="C9" s="53" t="s">
        <v>164</v>
      </c>
      <c r="D9" s="120"/>
      <c r="E9" s="121"/>
      <c r="F9" s="121"/>
      <c r="G9" s="121"/>
      <c r="H9" s="121"/>
      <c r="I9" s="121"/>
      <c r="J9" s="122"/>
      <c r="K9" s="121"/>
      <c r="L9" s="121"/>
      <c r="M9" s="121"/>
      <c r="N9" s="120"/>
      <c r="O9" s="120"/>
      <c r="P9" s="130"/>
    </row>
    <row r="10" spans="1:16" x14ac:dyDescent="0.3">
      <c r="A10" s="111"/>
      <c r="B10" s="75" t="s">
        <v>163</v>
      </c>
      <c r="C10" s="53" t="s">
        <v>165</v>
      </c>
      <c r="D10" s="120"/>
      <c r="E10" s="121"/>
      <c r="F10" s="121"/>
      <c r="G10" s="121"/>
      <c r="H10" s="121"/>
      <c r="I10" s="121"/>
      <c r="J10" s="121"/>
      <c r="K10" s="121"/>
      <c r="L10" s="122"/>
      <c r="M10" s="121"/>
      <c r="N10" s="120"/>
      <c r="O10" s="120"/>
      <c r="P10" s="130"/>
    </row>
    <row r="11" spans="1:16" x14ac:dyDescent="0.3">
      <c r="A11" s="111"/>
      <c r="B11" s="75" t="s">
        <v>166</v>
      </c>
      <c r="C11" s="53" t="s">
        <v>167</v>
      </c>
      <c r="D11" s="120"/>
      <c r="E11" s="120"/>
      <c r="F11" s="120"/>
      <c r="G11" s="120"/>
      <c r="H11" s="120"/>
      <c r="I11" s="120"/>
      <c r="J11" s="120"/>
      <c r="K11" s="120"/>
      <c r="L11" s="122"/>
      <c r="M11" s="120"/>
      <c r="N11" s="120"/>
      <c r="O11" s="120"/>
      <c r="P11" s="130"/>
    </row>
    <row r="12" spans="1:16" x14ac:dyDescent="0.3">
      <c r="A12" s="111"/>
      <c r="B12" s="75" t="s">
        <v>168</v>
      </c>
      <c r="C12" s="53" t="s">
        <v>169</v>
      </c>
      <c r="D12" s="120"/>
      <c r="E12" s="120"/>
      <c r="F12" s="120"/>
      <c r="G12" s="120"/>
      <c r="H12" s="120"/>
      <c r="I12" s="122"/>
      <c r="J12" s="120"/>
      <c r="K12" s="120"/>
      <c r="L12" s="120"/>
      <c r="M12" s="120"/>
      <c r="N12" s="120"/>
      <c r="O12" s="123"/>
      <c r="P12" s="130"/>
    </row>
    <row r="13" spans="1:16" ht="31.2" x14ac:dyDescent="0.3">
      <c r="A13" s="111"/>
      <c r="B13" s="75" t="s">
        <v>170</v>
      </c>
      <c r="C13" s="53" t="s">
        <v>171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2"/>
      <c r="P13" s="130"/>
    </row>
    <row r="14" spans="1:16" ht="17.25" customHeight="1" x14ac:dyDescent="0.3">
      <c r="A14" s="112" t="s">
        <v>137</v>
      </c>
      <c r="B14" s="112"/>
      <c r="C14" s="112"/>
      <c r="D14" s="74" t="s">
        <v>138</v>
      </c>
      <c r="E14" s="74" t="s">
        <v>139</v>
      </c>
      <c r="F14" s="74" t="s">
        <v>140</v>
      </c>
      <c r="G14" s="74" t="s">
        <v>141</v>
      </c>
      <c r="H14" s="74" t="s">
        <v>142</v>
      </c>
      <c r="I14" s="74" t="s">
        <v>143</v>
      </c>
      <c r="J14" s="74" t="s">
        <v>144</v>
      </c>
      <c r="K14" s="74" t="s">
        <v>145</v>
      </c>
      <c r="L14" s="74" t="s">
        <v>146</v>
      </c>
      <c r="M14" s="74" t="s">
        <v>147</v>
      </c>
      <c r="N14" s="74" t="s">
        <v>148</v>
      </c>
      <c r="O14" s="74" t="s">
        <v>149</v>
      </c>
      <c r="P14" s="130"/>
    </row>
    <row r="15" spans="1:16" x14ac:dyDescent="0.3">
      <c r="A15" s="113" t="s">
        <v>172</v>
      </c>
      <c r="B15" s="75" t="s">
        <v>163</v>
      </c>
      <c r="C15" s="53" t="s">
        <v>173</v>
      </c>
      <c r="D15" s="124"/>
      <c r="E15" s="124"/>
      <c r="F15" s="124"/>
      <c r="G15" s="121"/>
      <c r="H15" s="122"/>
      <c r="I15" s="124"/>
      <c r="J15" s="121"/>
      <c r="K15" s="124"/>
      <c r="L15" s="124"/>
      <c r="M15" s="121"/>
      <c r="N15" s="124"/>
      <c r="O15" s="124"/>
      <c r="P15" s="130"/>
    </row>
    <row r="16" spans="1:16" x14ac:dyDescent="0.3">
      <c r="A16" s="113"/>
      <c r="B16" s="75" t="s">
        <v>174</v>
      </c>
      <c r="C16" s="53" t="s">
        <v>175</v>
      </c>
      <c r="D16" s="121"/>
      <c r="E16" s="121"/>
      <c r="F16" s="120"/>
      <c r="G16" s="120"/>
      <c r="H16" s="120"/>
      <c r="I16" s="122"/>
      <c r="J16" s="120"/>
      <c r="K16" s="120"/>
      <c r="L16" s="120"/>
      <c r="M16" s="120"/>
      <c r="N16" s="120"/>
      <c r="O16" s="121"/>
      <c r="P16" s="130"/>
    </row>
    <row r="17" spans="1:16" x14ac:dyDescent="0.3">
      <c r="A17" s="114"/>
      <c r="B17" s="75" t="s">
        <v>155</v>
      </c>
      <c r="C17" s="53" t="s">
        <v>176</v>
      </c>
      <c r="D17" s="120"/>
      <c r="E17" s="120"/>
      <c r="F17" s="122"/>
      <c r="G17" s="120"/>
      <c r="H17" s="120"/>
      <c r="I17" s="120"/>
      <c r="J17" s="120"/>
      <c r="K17" s="120"/>
      <c r="L17" s="120"/>
      <c r="M17" s="120"/>
      <c r="N17" s="120"/>
      <c r="O17" s="120"/>
      <c r="P17" s="130"/>
    </row>
    <row r="18" spans="1:16" x14ac:dyDescent="0.3">
      <c r="A18" s="114"/>
      <c r="B18" s="76" t="s">
        <v>157</v>
      </c>
      <c r="C18" s="53" t="s">
        <v>177</v>
      </c>
      <c r="D18" s="120"/>
      <c r="E18" s="120"/>
      <c r="F18" s="120"/>
      <c r="G18" s="120"/>
      <c r="H18" s="122"/>
      <c r="I18" s="122"/>
      <c r="J18" s="120"/>
      <c r="K18" s="120"/>
      <c r="L18" s="120"/>
      <c r="M18" s="120"/>
      <c r="N18" s="120"/>
      <c r="O18" s="120"/>
      <c r="P18" s="130"/>
    </row>
    <row r="19" spans="1:16" x14ac:dyDescent="0.3">
      <c r="A19" s="114"/>
      <c r="B19" s="76" t="s">
        <v>159</v>
      </c>
      <c r="C19" s="53" t="s">
        <v>178</v>
      </c>
      <c r="D19" s="120"/>
      <c r="E19" s="120"/>
      <c r="F19" s="120"/>
      <c r="G19" s="120"/>
      <c r="H19" s="120"/>
      <c r="I19" s="122"/>
      <c r="J19" s="120"/>
      <c r="K19" s="120"/>
      <c r="L19" s="120"/>
      <c r="M19" s="120"/>
      <c r="N19" s="120"/>
      <c r="O19" s="120"/>
      <c r="P19" s="130"/>
    </row>
    <row r="20" spans="1:16" x14ac:dyDescent="0.3">
      <c r="A20" s="114"/>
      <c r="B20" s="77" t="s">
        <v>179</v>
      </c>
      <c r="C20" s="53" t="s">
        <v>173</v>
      </c>
      <c r="D20" s="120"/>
      <c r="E20" s="120"/>
      <c r="F20" s="122"/>
      <c r="G20" s="122"/>
      <c r="H20" s="122"/>
      <c r="I20" s="122"/>
      <c r="J20" s="122"/>
      <c r="K20" s="120"/>
      <c r="L20" s="120"/>
      <c r="M20" s="120"/>
      <c r="N20" s="120"/>
      <c r="O20" s="120"/>
      <c r="P20" s="130"/>
    </row>
    <row r="21" spans="1:16" ht="18" customHeight="1" x14ac:dyDescent="0.3">
      <c r="A21" s="112" t="s">
        <v>137</v>
      </c>
      <c r="B21" s="112"/>
      <c r="C21" s="112"/>
      <c r="D21" s="74" t="s">
        <v>138</v>
      </c>
      <c r="E21" s="74" t="s">
        <v>139</v>
      </c>
      <c r="F21" s="74" t="s">
        <v>140</v>
      </c>
      <c r="G21" s="74" t="s">
        <v>141</v>
      </c>
      <c r="H21" s="74" t="s">
        <v>142</v>
      </c>
      <c r="I21" s="74" t="s">
        <v>143</v>
      </c>
      <c r="J21" s="74" t="s">
        <v>144</v>
      </c>
      <c r="K21" s="74" t="s">
        <v>145</v>
      </c>
      <c r="L21" s="74" t="s">
        <v>146</v>
      </c>
      <c r="M21" s="74" t="s">
        <v>147</v>
      </c>
      <c r="N21" s="74" t="s">
        <v>148</v>
      </c>
      <c r="O21" s="74" t="s">
        <v>149</v>
      </c>
      <c r="P21" s="130"/>
    </row>
    <row r="22" spans="1:16" ht="16.5" customHeight="1" x14ac:dyDescent="0.3">
      <c r="A22" s="115" t="s">
        <v>180</v>
      </c>
      <c r="B22" s="75" t="s">
        <v>151</v>
      </c>
      <c r="C22" s="53" t="s">
        <v>181</v>
      </c>
      <c r="D22" s="120"/>
      <c r="E22" s="120"/>
      <c r="F22" s="120"/>
      <c r="G22" s="120"/>
      <c r="H22" s="120"/>
      <c r="I22" s="122"/>
      <c r="J22" s="121"/>
      <c r="K22" s="120"/>
      <c r="L22" s="120"/>
      <c r="M22" s="120"/>
      <c r="N22" s="120"/>
      <c r="O22" s="120"/>
      <c r="P22" s="130"/>
    </row>
    <row r="23" spans="1:16" x14ac:dyDescent="0.3">
      <c r="A23" s="115"/>
      <c r="B23" s="75" t="s">
        <v>174</v>
      </c>
      <c r="C23" s="53" t="s">
        <v>182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2"/>
      <c r="P23" s="130"/>
    </row>
    <row r="24" spans="1:16" x14ac:dyDescent="0.3">
      <c r="A24" s="115"/>
      <c r="B24" s="75" t="s">
        <v>174</v>
      </c>
      <c r="C24" s="78" t="s">
        <v>183</v>
      </c>
      <c r="D24" s="124"/>
      <c r="E24" s="124"/>
      <c r="F24" s="124"/>
      <c r="G24" s="124"/>
      <c r="H24" s="124"/>
      <c r="I24" s="124"/>
      <c r="J24" s="124"/>
      <c r="K24" s="122"/>
      <c r="L24" s="124"/>
      <c r="M24" s="122"/>
      <c r="N24" s="124"/>
      <c r="O24" s="124"/>
      <c r="P24" s="130"/>
    </row>
    <row r="25" spans="1:16" x14ac:dyDescent="0.3">
      <c r="A25" s="115"/>
      <c r="B25" s="75" t="s">
        <v>155</v>
      </c>
      <c r="C25" s="53" t="s">
        <v>184</v>
      </c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2"/>
      <c r="O25" s="125"/>
      <c r="P25" s="130"/>
    </row>
    <row r="26" spans="1:16" x14ac:dyDescent="0.3">
      <c r="A26" s="115"/>
      <c r="B26" s="76" t="s">
        <v>159</v>
      </c>
      <c r="C26" s="78" t="s">
        <v>185</v>
      </c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2"/>
      <c r="P26" s="130"/>
    </row>
    <row r="27" spans="1:16" x14ac:dyDescent="0.3">
      <c r="A27" s="115"/>
      <c r="B27" s="76" t="s">
        <v>159</v>
      </c>
      <c r="C27" s="53" t="s">
        <v>186</v>
      </c>
      <c r="D27" s="122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30"/>
    </row>
    <row r="28" spans="1:16" x14ac:dyDescent="0.3">
      <c r="A28" s="115"/>
      <c r="B28" s="76" t="s">
        <v>157</v>
      </c>
      <c r="C28" s="119" t="s">
        <v>187</v>
      </c>
      <c r="D28" s="121"/>
      <c r="E28" s="121"/>
      <c r="F28" s="122"/>
      <c r="G28" s="121"/>
      <c r="H28" s="121"/>
      <c r="I28" s="121"/>
      <c r="J28" s="121"/>
      <c r="K28" s="121"/>
      <c r="L28" s="121"/>
      <c r="M28" s="121"/>
      <c r="N28" s="121"/>
      <c r="O28" s="121"/>
      <c r="P28" s="130"/>
    </row>
    <row r="29" spans="1:16" x14ac:dyDescent="0.3">
      <c r="A29" s="115"/>
      <c r="B29" s="76" t="s">
        <v>163</v>
      </c>
      <c r="C29" s="119" t="s">
        <v>187</v>
      </c>
      <c r="D29" s="126"/>
      <c r="E29" s="122"/>
      <c r="F29" s="126"/>
      <c r="G29" s="121"/>
      <c r="H29" s="121"/>
      <c r="I29" s="121"/>
      <c r="J29" s="121"/>
      <c r="K29" s="121"/>
      <c r="L29" s="121"/>
      <c r="M29" s="121"/>
      <c r="N29" s="121"/>
      <c r="O29" s="121"/>
      <c r="P29" s="130"/>
    </row>
    <row r="30" spans="1:16" x14ac:dyDescent="0.3">
      <c r="A30" s="115"/>
      <c r="B30" s="76" t="s">
        <v>157</v>
      </c>
      <c r="C30" s="53" t="s">
        <v>188</v>
      </c>
      <c r="D30" s="121"/>
      <c r="E30" s="121"/>
      <c r="F30" s="121"/>
      <c r="G30" s="121"/>
      <c r="H30" s="121"/>
      <c r="I30" s="122"/>
      <c r="J30" s="121"/>
      <c r="K30" s="121"/>
      <c r="L30" s="121"/>
      <c r="M30" s="121"/>
      <c r="N30" s="121"/>
      <c r="O30" s="121"/>
      <c r="P30" s="130"/>
    </row>
    <row r="31" spans="1:16" x14ac:dyDescent="0.3">
      <c r="A31" s="115"/>
      <c r="B31" s="76" t="s">
        <v>189</v>
      </c>
      <c r="C31" s="53" t="s">
        <v>190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2"/>
      <c r="P31" s="130"/>
    </row>
    <row r="32" spans="1:16" x14ac:dyDescent="0.3">
      <c r="A32" s="115"/>
      <c r="B32" s="76" t="s">
        <v>189</v>
      </c>
      <c r="C32" s="119" t="s">
        <v>191</v>
      </c>
      <c r="D32" s="126"/>
      <c r="E32" s="122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30"/>
    </row>
    <row r="33" spans="1:16" x14ac:dyDescent="0.3">
      <c r="A33" s="115"/>
      <c r="B33" s="76" t="s">
        <v>189</v>
      </c>
      <c r="C33" s="53" t="s">
        <v>192</v>
      </c>
      <c r="D33" s="122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2"/>
      <c r="P33" s="130"/>
    </row>
    <row r="34" spans="1:16" x14ac:dyDescent="0.3">
      <c r="A34" s="115"/>
      <c r="B34" s="76" t="s">
        <v>189</v>
      </c>
      <c r="C34" s="53" t="s">
        <v>193</v>
      </c>
      <c r="D34" s="121"/>
      <c r="E34" s="121"/>
      <c r="F34" s="121"/>
      <c r="G34" s="122"/>
      <c r="H34" s="121"/>
      <c r="I34" s="121"/>
      <c r="J34" s="121"/>
      <c r="K34" s="121"/>
      <c r="L34" s="121"/>
      <c r="M34" s="121"/>
      <c r="N34" s="121"/>
      <c r="O34" s="121"/>
      <c r="P34" s="130"/>
    </row>
    <row r="35" spans="1:16" x14ac:dyDescent="0.3">
      <c r="A35" s="115"/>
      <c r="B35" s="76" t="s">
        <v>189</v>
      </c>
      <c r="C35" s="53" t="s">
        <v>194</v>
      </c>
      <c r="D35" s="121"/>
      <c r="E35" s="121"/>
      <c r="F35" s="127" t="s">
        <v>195</v>
      </c>
      <c r="G35" s="121"/>
      <c r="H35" s="121"/>
      <c r="I35" s="121"/>
      <c r="J35" s="121"/>
      <c r="K35" s="121"/>
      <c r="L35" s="121"/>
      <c r="M35" s="121"/>
      <c r="N35" s="121"/>
      <c r="O35" s="121"/>
      <c r="P35" s="130"/>
    </row>
    <row r="36" spans="1:16" x14ac:dyDescent="0.3">
      <c r="A36" s="115"/>
      <c r="B36" s="76" t="s">
        <v>189</v>
      </c>
      <c r="C36" s="53" t="s">
        <v>196</v>
      </c>
      <c r="D36" s="121"/>
      <c r="E36" s="121"/>
      <c r="F36" s="121"/>
      <c r="G36" s="121"/>
      <c r="H36" s="121"/>
      <c r="I36" s="121"/>
      <c r="J36" s="121"/>
      <c r="K36" s="122"/>
      <c r="L36" s="121"/>
      <c r="M36" s="121"/>
      <c r="N36" s="121"/>
      <c r="O36" s="121"/>
      <c r="P36" s="130"/>
    </row>
    <row r="37" spans="1:16" x14ac:dyDescent="0.3">
      <c r="A37" s="115"/>
      <c r="B37" s="76" t="s">
        <v>189</v>
      </c>
      <c r="C37" s="53" t="s">
        <v>197</v>
      </c>
      <c r="D37" s="121"/>
      <c r="E37" s="121"/>
      <c r="F37" s="121"/>
      <c r="G37" s="121"/>
      <c r="H37" s="121"/>
      <c r="I37" s="122"/>
      <c r="J37" s="121"/>
      <c r="K37" s="121"/>
      <c r="L37" s="121"/>
      <c r="M37" s="121"/>
      <c r="N37" s="121"/>
      <c r="O37" s="121"/>
      <c r="P37" s="130"/>
    </row>
    <row r="38" spans="1:16" x14ac:dyDescent="0.3">
      <c r="A38" s="115"/>
      <c r="B38" s="76" t="s">
        <v>198</v>
      </c>
      <c r="C38" s="53" t="s">
        <v>199</v>
      </c>
      <c r="D38" s="122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30"/>
    </row>
    <row r="39" spans="1:16" x14ac:dyDescent="0.3">
      <c r="A39" s="115"/>
      <c r="B39" s="76" t="s">
        <v>198</v>
      </c>
      <c r="C39" s="53" t="s">
        <v>200</v>
      </c>
      <c r="D39" s="121"/>
      <c r="E39" s="122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30"/>
    </row>
    <row r="40" spans="1:16" x14ac:dyDescent="0.3">
      <c r="A40" s="115"/>
      <c r="B40" s="76" t="s">
        <v>198</v>
      </c>
      <c r="C40" s="53" t="s">
        <v>201</v>
      </c>
      <c r="D40" s="121"/>
      <c r="E40" s="121"/>
      <c r="F40" s="121"/>
      <c r="G40" s="121"/>
      <c r="H40" s="121"/>
      <c r="I40" s="121"/>
      <c r="J40" s="121"/>
      <c r="K40" s="121"/>
      <c r="L40" s="121"/>
      <c r="M40" s="122"/>
      <c r="N40" s="121"/>
      <c r="O40" s="121"/>
      <c r="P40" s="130"/>
    </row>
    <row r="41" spans="1:16" x14ac:dyDescent="0.3">
      <c r="A41" s="115"/>
      <c r="B41" s="76" t="s">
        <v>198</v>
      </c>
      <c r="C41" s="53" t="s">
        <v>202</v>
      </c>
      <c r="D41" s="121"/>
      <c r="E41" s="121"/>
      <c r="F41" s="121"/>
      <c r="G41" s="122"/>
      <c r="H41" s="121"/>
      <c r="I41" s="121"/>
      <c r="J41" s="121"/>
      <c r="K41" s="121"/>
      <c r="L41" s="121"/>
      <c r="M41" s="121"/>
      <c r="N41" s="121"/>
      <c r="O41" s="121"/>
      <c r="P41" s="130"/>
    </row>
    <row r="42" spans="1:16" x14ac:dyDescent="0.3">
      <c r="A42" s="115"/>
      <c r="B42" s="76" t="s">
        <v>198</v>
      </c>
      <c r="C42" s="53" t="s">
        <v>203</v>
      </c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2"/>
      <c r="O42" s="121"/>
      <c r="P42" s="130"/>
    </row>
    <row r="43" spans="1:16" s="79" customFormat="1" x14ac:dyDescent="0.3">
      <c r="A43" s="115"/>
      <c r="B43" s="76" t="s">
        <v>198</v>
      </c>
      <c r="C43" s="53" t="s">
        <v>204</v>
      </c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2"/>
      <c r="P43" s="130"/>
    </row>
    <row r="44" spans="1:16" x14ac:dyDescent="0.3">
      <c r="A44" s="115"/>
      <c r="B44" s="76" t="s">
        <v>198</v>
      </c>
      <c r="C44" s="53" t="s">
        <v>205</v>
      </c>
      <c r="D44" s="125"/>
      <c r="E44" s="122"/>
      <c r="F44" s="125"/>
      <c r="G44" s="125"/>
      <c r="H44" s="125"/>
      <c r="I44" s="125"/>
      <c r="J44" s="125"/>
      <c r="K44" s="121"/>
      <c r="L44" s="125"/>
      <c r="M44" s="125"/>
      <c r="N44" s="125"/>
      <c r="O44" s="125"/>
      <c r="P44" s="130"/>
    </row>
    <row r="45" spans="1:16" x14ac:dyDescent="0.3">
      <c r="A45" s="115"/>
      <c r="B45" s="76" t="s">
        <v>189</v>
      </c>
      <c r="C45" s="53" t="s">
        <v>206</v>
      </c>
      <c r="D45" s="122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2"/>
      <c r="P45" s="131"/>
    </row>
  </sheetData>
  <sheetProtection algorithmName="SHA-512" hashValue="A4N+O+EWikg6oNJnCzR3OieiFsmheWWzOS8TyEsqVqzaD8ZtZehtgsDEBlKVu1J8T1T9qdzgeLVsKwp4uYxv4g==" saltValue="HcG9u5EeDT/lbKMorbtG/g==" spinCount="100000" sheet="1" objects="1" scenarios="1"/>
  <mergeCells count="6">
    <mergeCell ref="P2:P45"/>
    <mergeCell ref="A2:A13"/>
    <mergeCell ref="A14:C14"/>
    <mergeCell ref="A15:A20"/>
    <mergeCell ref="A21:C21"/>
    <mergeCell ref="A22:A45"/>
  </mergeCells>
  <phoneticPr fontId="4" type="noConversion"/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2024預算(總處)</vt:lpstr>
      <vt:lpstr>2024預算-拆分至各廠</vt:lpstr>
      <vt:lpstr>2024各單位計畫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總公司 駱正達 Chengta.Lo</dc:creator>
  <cp:lastModifiedBy>總公司 駱正達 Chengta.Lo</cp:lastModifiedBy>
  <dcterms:created xsi:type="dcterms:W3CDTF">2024-03-07T01:41:31Z</dcterms:created>
  <dcterms:modified xsi:type="dcterms:W3CDTF">2024-03-21T11:08:16Z</dcterms:modified>
</cp:coreProperties>
</file>